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 hidePivotFieldList="1"/>
  <mc:AlternateContent xmlns:mc="http://schemas.openxmlformats.org/markup-compatibility/2006">
    <mc:Choice Requires="x15">
      <x15ac:absPath xmlns:x15ac="http://schemas.microsoft.com/office/spreadsheetml/2010/11/ac" url="/Users/whitneypope/Desktop/"/>
    </mc:Choice>
  </mc:AlternateContent>
  <bookViews>
    <workbookView xWindow="0" yWindow="460" windowWidth="19420" windowHeight="12220"/>
  </bookViews>
  <sheets>
    <sheet name="Portfolio Budget" sheetId="12" r:id="rId1"/>
    <sheet name="Portfolio Savings " sheetId="19" r:id="rId2"/>
    <sheet name="Program Savings Changes 2018 " sheetId="16" r:id="rId3"/>
    <sheet name="Program Savings Changes 2019" sheetId="14" r:id="rId4"/>
    <sheet name="Program Savings Changes 2020" sheetId="15" r:id="rId5"/>
    <sheet name="2018 Subprogram Est." sheetId="1" r:id="rId6"/>
    <sheet name="App B.1 Budget" sheetId="10" r:id="rId7"/>
    <sheet name="App B.2 Savings" sheetId="11" r:id="rId8"/>
  </sheets>
  <externalReferences>
    <externalReference r:id="rId9"/>
    <externalReference r:id="rId10"/>
  </externalReferences>
  <definedNames>
    <definedName name="__MeasureInputs__" localSheetId="1">#REF!</definedName>
    <definedName name="__MeasureInputs__" localSheetId="3">#REF!</definedName>
    <definedName name="__MeasureInputs__" localSheetId="4">#REF!</definedName>
    <definedName name="__MeasureInputs__">#REF!</definedName>
    <definedName name="__ProgramInputs__" localSheetId="1">#REF!</definedName>
    <definedName name="__ProgramInputs__" localSheetId="3">#REF!</definedName>
    <definedName name="__ProgramInputs__" localSheetId="4">#REF!</definedName>
    <definedName name="__ProgramInputs__">#REF!</definedName>
    <definedName name="_xlnm._FilterDatabase" localSheetId="5" hidden="1">'2018 Subprogram Est.'!$A$5:$Y$5</definedName>
    <definedName name="_xlnm._FilterDatabase" localSheetId="2" hidden="1">'Program Savings Changes 2018 '!$A$1:$G$83</definedName>
    <definedName name="_xlnm._FilterDatabase" localSheetId="3" hidden="1">'Program Savings Changes 2019'!$A$1:$G$84</definedName>
    <definedName name="_xlnm._FilterDatabase" localSheetId="4" hidden="1">'Program Savings Changes 2020'!$A$1:$G$85</definedName>
    <definedName name="CommitmentSelect">[1]DateSelect!$A$6</definedName>
    <definedName name="Market_Sector" localSheetId="6">'[2]App B.1 Budget'!#REF!</definedName>
    <definedName name="_xlnm.Print_Titles" localSheetId="5">'2018 Subprogram Est.'!$1:$5</definedName>
    <definedName name="Program_Status" localSheetId="6">'[2]App B.1 Budget'!#REF!</definedName>
    <definedName name="Program_Type" localSheetId="6">'[2]App B.1 Budget'!#REF!</definedName>
    <definedName name="SCGAggEnd" localSheetId="0">#REF!</definedName>
    <definedName name="SCGAggEnd" localSheetId="1">#REF!</definedName>
    <definedName name="SCGAggEnd">#REF!</definedName>
    <definedName name="SCGMktSector" localSheetId="0">#REF!</definedName>
    <definedName name="SCGMktSector" localSheetId="1">#REF!</definedName>
    <definedName name="SCGMktSector">#REF!</definedName>
    <definedName name="SCGPgmSum" localSheetId="0">#REF!</definedName>
    <definedName name="SCGPgmSum" localSheetId="1">#REF!</definedName>
    <definedName name="SCGPgmSum">#REF!</definedName>
    <definedName name="sdgeAggEnd" localSheetId="0">#REF!</definedName>
    <definedName name="sdgeAggEnd" localSheetId="1">#REF!</definedName>
    <definedName name="sdgeAggEnd">#REF!</definedName>
    <definedName name="sdgeMktSector" localSheetId="0">#REF!</definedName>
    <definedName name="sdgeMktSector" localSheetId="1">#REF!</definedName>
    <definedName name="sdgeMktSector">#REF!</definedName>
    <definedName name="SDGEPgmSum" localSheetId="0">#REF!</definedName>
    <definedName name="SDGEPgmSum" localSheetId="1">#REF!</definedName>
    <definedName name="SDGEPgmSum">#REF!</definedName>
    <definedName name="TEST" localSheetId="1">#REF!</definedName>
    <definedName name="TEST">#REF!</definedName>
    <definedName name="TEST1" localSheetId="1">#REF!</definedName>
    <definedName name="TEST1">#REF!</definedName>
    <definedName name="Utility_Grouping" localSheetId="6">'[2]App B.1 Budget'!#REF!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19" l="1"/>
  <c r="O53" i="19"/>
  <c r="O47" i="19"/>
  <c r="O38" i="19"/>
  <c r="O30" i="19"/>
  <c r="E39" i="19"/>
  <c r="F39" i="19"/>
  <c r="G39" i="19"/>
  <c r="H39" i="19"/>
  <c r="D39" i="19"/>
  <c r="E38" i="19"/>
  <c r="F38" i="19"/>
  <c r="G38" i="19"/>
  <c r="H38" i="19"/>
  <c r="D38" i="19"/>
  <c r="E31" i="19"/>
  <c r="F31" i="19"/>
  <c r="G31" i="19"/>
  <c r="H31" i="19"/>
  <c r="D31" i="19"/>
  <c r="E30" i="19"/>
  <c r="F30" i="19"/>
  <c r="G30" i="19"/>
  <c r="H30" i="19"/>
  <c r="D30" i="19"/>
  <c r="E22" i="19"/>
  <c r="F22" i="19"/>
  <c r="G22" i="19"/>
  <c r="H22" i="19"/>
  <c r="D22" i="19"/>
  <c r="E23" i="19"/>
  <c r="F23" i="19"/>
  <c r="G23" i="19"/>
  <c r="H23" i="19"/>
  <c r="D23" i="19"/>
  <c r="C83" i="12"/>
  <c r="C84" i="12"/>
  <c r="C82" i="12"/>
  <c r="C96" i="12"/>
  <c r="D83" i="12"/>
  <c r="D84" i="12"/>
  <c r="D82" i="12"/>
  <c r="D96" i="12"/>
  <c r="E83" i="12"/>
  <c r="E84" i="12"/>
  <c r="E82" i="12"/>
  <c r="E96" i="12"/>
  <c r="F83" i="12"/>
  <c r="F84" i="12"/>
  <c r="F82" i="12"/>
  <c r="F96" i="12"/>
  <c r="H83" i="12"/>
  <c r="H84" i="12"/>
  <c r="H82" i="12"/>
  <c r="H96" i="12"/>
  <c r="J83" i="12"/>
  <c r="J84" i="12"/>
  <c r="J82" i="12"/>
  <c r="J96" i="12"/>
  <c r="L96" i="12"/>
  <c r="M96" i="12"/>
  <c r="C42" i="12"/>
  <c r="C43" i="12"/>
  <c r="C41" i="12"/>
  <c r="D42" i="12"/>
  <c r="D43" i="12"/>
  <c r="D41" i="12"/>
  <c r="E42" i="12"/>
  <c r="E43" i="12"/>
  <c r="E41" i="12"/>
  <c r="F42" i="12"/>
  <c r="F43" i="12"/>
  <c r="F41" i="12"/>
  <c r="G42" i="12"/>
  <c r="G43" i="12"/>
  <c r="G41" i="12"/>
  <c r="H42" i="12"/>
  <c r="H43" i="12"/>
  <c r="H41" i="12"/>
  <c r="J42" i="12"/>
  <c r="J43" i="12"/>
  <c r="J41" i="12"/>
  <c r="L41" i="12"/>
  <c r="C44" i="12"/>
  <c r="D44" i="12"/>
  <c r="E44" i="12"/>
  <c r="F44" i="12"/>
  <c r="G44" i="12"/>
  <c r="H44" i="12"/>
  <c r="J44" i="12"/>
  <c r="L44" i="12"/>
  <c r="C46" i="12"/>
  <c r="C47" i="12"/>
  <c r="C45" i="12"/>
  <c r="D46" i="12"/>
  <c r="D47" i="12"/>
  <c r="D45" i="12"/>
  <c r="E46" i="12"/>
  <c r="E47" i="12"/>
  <c r="E45" i="12"/>
  <c r="F46" i="12"/>
  <c r="F47" i="12"/>
  <c r="F45" i="12"/>
  <c r="G46" i="12"/>
  <c r="G47" i="12"/>
  <c r="G45" i="12"/>
  <c r="H46" i="12"/>
  <c r="H47" i="12"/>
  <c r="H45" i="12"/>
  <c r="J46" i="12"/>
  <c r="J47" i="12"/>
  <c r="J45" i="12"/>
  <c r="L45" i="12"/>
  <c r="C48" i="12"/>
  <c r="D48" i="12"/>
  <c r="E48" i="12"/>
  <c r="F48" i="12"/>
  <c r="G48" i="12"/>
  <c r="H48" i="12"/>
  <c r="J48" i="12"/>
  <c r="L48" i="12"/>
  <c r="L40" i="12"/>
  <c r="M49" i="12"/>
  <c r="H41" i="19"/>
  <c r="G41" i="19"/>
  <c r="F41" i="19"/>
  <c r="E41" i="19"/>
  <c r="D41" i="19"/>
  <c r="H40" i="19"/>
  <c r="G40" i="19"/>
  <c r="F40" i="19"/>
  <c r="E40" i="19"/>
  <c r="D40" i="19"/>
  <c r="H33" i="19"/>
  <c r="G33" i="19"/>
  <c r="F33" i="19"/>
  <c r="E33" i="19"/>
  <c r="D33" i="19"/>
  <c r="H32" i="19"/>
  <c r="G32" i="19"/>
  <c r="F32" i="19"/>
  <c r="E32" i="19"/>
  <c r="D32" i="19"/>
  <c r="H25" i="19"/>
  <c r="G25" i="19"/>
  <c r="F25" i="19"/>
  <c r="E25" i="19"/>
  <c r="D25" i="19"/>
  <c r="H24" i="19"/>
  <c r="G24" i="19"/>
  <c r="F24" i="19"/>
  <c r="E24" i="19"/>
  <c r="D24" i="19"/>
  <c r="S88" i="19"/>
  <c r="R88" i="19"/>
  <c r="Q88" i="19"/>
  <c r="P88" i="19"/>
  <c r="O88" i="19"/>
  <c r="N88" i="19"/>
  <c r="M88" i="19"/>
  <c r="S87" i="19"/>
  <c r="R87" i="19"/>
  <c r="Q87" i="19"/>
  <c r="P87" i="19"/>
  <c r="O87" i="19"/>
  <c r="N87" i="19"/>
  <c r="M87" i="19"/>
  <c r="K77" i="19"/>
  <c r="J77" i="19"/>
  <c r="H77" i="19"/>
  <c r="G77" i="19"/>
  <c r="F77" i="19"/>
  <c r="E77" i="19"/>
  <c r="D48" i="19"/>
  <c r="D54" i="19"/>
  <c r="D60" i="19"/>
  <c r="D66" i="19"/>
  <c r="D72" i="19"/>
  <c r="E48" i="19"/>
  <c r="E54" i="19"/>
  <c r="E60" i="19"/>
  <c r="E66" i="19"/>
  <c r="E72" i="19"/>
  <c r="F48" i="19"/>
  <c r="F54" i="19"/>
  <c r="F60" i="19"/>
  <c r="F66" i="19"/>
  <c r="F72" i="19"/>
  <c r="G48" i="19"/>
  <c r="G54" i="19"/>
  <c r="G60" i="19"/>
  <c r="G66" i="19"/>
  <c r="G72" i="19"/>
  <c r="H48" i="19"/>
  <c r="H54" i="19"/>
  <c r="H60" i="19"/>
  <c r="H66" i="19"/>
  <c r="H72" i="19"/>
  <c r="I23" i="19"/>
  <c r="I31" i="19"/>
  <c r="I39" i="19"/>
  <c r="I48" i="19"/>
  <c r="I54" i="19"/>
  <c r="I60" i="19"/>
  <c r="I66" i="19"/>
  <c r="I72" i="19"/>
  <c r="J23" i="19"/>
  <c r="J31" i="19"/>
  <c r="J39" i="19"/>
  <c r="J48" i="19"/>
  <c r="J54" i="19"/>
  <c r="J60" i="19"/>
  <c r="J66" i="19"/>
  <c r="J72" i="19"/>
  <c r="O72" i="19"/>
  <c r="N18" i="19"/>
  <c r="N23" i="19"/>
  <c r="N31" i="19"/>
  <c r="N39" i="19"/>
  <c r="N48" i="19"/>
  <c r="N54" i="19"/>
  <c r="N60" i="19"/>
  <c r="N66" i="19"/>
  <c r="N72" i="19"/>
  <c r="D47" i="19"/>
  <c r="D53" i="19"/>
  <c r="D59" i="19"/>
  <c r="D65" i="19"/>
  <c r="D71" i="19"/>
  <c r="E47" i="19"/>
  <c r="E53" i="19"/>
  <c r="E59" i="19"/>
  <c r="E65" i="19"/>
  <c r="E71" i="19"/>
  <c r="F47" i="19"/>
  <c r="F53" i="19"/>
  <c r="F59" i="19"/>
  <c r="F65" i="19"/>
  <c r="F71" i="19"/>
  <c r="G47" i="19"/>
  <c r="G53" i="19"/>
  <c r="G59" i="19"/>
  <c r="G65" i="19"/>
  <c r="G71" i="19"/>
  <c r="H47" i="19"/>
  <c r="H53" i="19"/>
  <c r="H59" i="19"/>
  <c r="H65" i="19"/>
  <c r="H71" i="19"/>
  <c r="I22" i="19"/>
  <c r="I30" i="19"/>
  <c r="I38" i="19"/>
  <c r="I47" i="19"/>
  <c r="I53" i="19"/>
  <c r="I59" i="19"/>
  <c r="I65" i="19"/>
  <c r="I71" i="19"/>
  <c r="J22" i="19"/>
  <c r="J30" i="19"/>
  <c r="J38" i="19"/>
  <c r="J47" i="19"/>
  <c r="J53" i="19"/>
  <c r="J59" i="19"/>
  <c r="J65" i="19"/>
  <c r="J71" i="19"/>
  <c r="N17" i="19"/>
  <c r="N22" i="19"/>
  <c r="N30" i="19"/>
  <c r="N38" i="19"/>
  <c r="N47" i="19"/>
  <c r="N53" i="19"/>
  <c r="N59" i="19"/>
  <c r="N65" i="19"/>
  <c r="N71" i="19"/>
  <c r="O71" i="19"/>
  <c r="O66" i="19"/>
  <c r="O65" i="19"/>
  <c r="O60" i="19"/>
  <c r="O54" i="19"/>
  <c r="O48" i="19"/>
  <c r="O39" i="19"/>
  <c r="O31" i="19"/>
  <c r="K18" i="19"/>
  <c r="K23" i="19"/>
  <c r="M18" i="19"/>
  <c r="M23" i="19"/>
  <c r="O23" i="19"/>
  <c r="K17" i="19"/>
  <c r="K22" i="19"/>
  <c r="M17" i="19"/>
  <c r="M22" i="19"/>
  <c r="O22" i="19"/>
  <c r="D18" i="19"/>
  <c r="E18" i="19"/>
  <c r="F18" i="19"/>
  <c r="G18" i="19"/>
  <c r="H18" i="19"/>
  <c r="I18" i="19"/>
  <c r="J18" i="19"/>
  <c r="L18" i="19"/>
  <c r="O18" i="19"/>
  <c r="D17" i="19"/>
  <c r="E17" i="19"/>
  <c r="F17" i="19"/>
  <c r="G17" i="19"/>
  <c r="H17" i="19"/>
  <c r="I17" i="19"/>
  <c r="J17" i="19"/>
  <c r="L17" i="19"/>
  <c r="O17" i="19"/>
  <c r="D12" i="19"/>
  <c r="E12" i="19"/>
  <c r="F12" i="19"/>
  <c r="G12" i="19"/>
  <c r="H12" i="19"/>
  <c r="I12" i="19"/>
  <c r="J12" i="19"/>
  <c r="K12" i="19"/>
  <c r="L12" i="19"/>
  <c r="M12" i="19"/>
  <c r="O12" i="19"/>
  <c r="N12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D6" i="19"/>
  <c r="E6" i="19"/>
  <c r="F6" i="19"/>
  <c r="G6" i="19"/>
  <c r="H6" i="19"/>
  <c r="I6" i="19"/>
  <c r="J6" i="19"/>
  <c r="K6" i="19"/>
  <c r="L6" i="19"/>
  <c r="M6" i="19"/>
  <c r="O6" i="19"/>
  <c r="N6" i="19"/>
  <c r="D5" i="19"/>
  <c r="E5" i="19"/>
  <c r="F5" i="19"/>
  <c r="G5" i="19"/>
  <c r="H5" i="19"/>
  <c r="I5" i="19"/>
  <c r="J5" i="19"/>
  <c r="K5" i="19"/>
  <c r="L5" i="19"/>
  <c r="M5" i="19"/>
  <c r="N5" i="19"/>
  <c r="O5" i="19"/>
  <c r="C79" i="12"/>
  <c r="C80" i="12"/>
  <c r="C78" i="12"/>
  <c r="C94" i="12"/>
  <c r="C106" i="12"/>
  <c r="C118" i="12"/>
  <c r="C130" i="12"/>
  <c r="C142" i="12"/>
  <c r="D79" i="12"/>
  <c r="D80" i="12"/>
  <c r="D78" i="12"/>
  <c r="D94" i="12"/>
  <c r="D106" i="12"/>
  <c r="D118" i="12"/>
  <c r="D130" i="12"/>
  <c r="D142" i="12"/>
  <c r="E79" i="12"/>
  <c r="E80" i="12"/>
  <c r="E78" i="12"/>
  <c r="E94" i="12"/>
  <c r="E106" i="12"/>
  <c r="E118" i="12"/>
  <c r="E130" i="12"/>
  <c r="E142" i="12"/>
  <c r="F79" i="12"/>
  <c r="F80" i="12"/>
  <c r="F78" i="12"/>
  <c r="F94" i="12"/>
  <c r="F106" i="12"/>
  <c r="F118" i="12"/>
  <c r="F130" i="12"/>
  <c r="F142" i="12"/>
  <c r="G79" i="12"/>
  <c r="G80" i="12"/>
  <c r="G78" i="12"/>
  <c r="G94" i="12"/>
  <c r="G106" i="12"/>
  <c r="G118" i="12"/>
  <c r="G130" i="12"/>
  <c r="G142" i="12"/>
  <c r="H79" i="12"/>
  <c r="H80" i="12"/>
  <c r="H78" i="12"/>
  <c r="H94" i="12"/>
  <c r="H106" i="12"/>
  <c r="H118" i="12"/>
  <c r="H130" i="12"/>
  <c r="H142" i="12"/>
  <c r="I62" i="12"/>
  <c r="I78" i="12"/>
  <c r="I94" i="12"/>
  <c r="I106" i="12"/>
  <c r="I118" i="12"/>
  <c r="I130" i="12"/>
  <c r="I142" i="12"/>
  <c r="J79" i="12"/>
  <c r="J80" i="12"/>
  <c r="J78" i="12"/>
  <c r="J94" i="12"/>
  <c r="J106" i="12"/>
  <c r="J118" i="12"/>
  <c r="J130" i="12"/>
  <c r="J142" i="12"/>
  <c r="K62" i="12"/>
  <c r="K78" i="12"/>
  <c r="K94" i="12"/>
  <c r="K106" i="12"/>
  <c r="K118" i="12"/>
  <c r="K130" i="12"/>
  <c r="K142" i="12"/>
  <c r="L142" i="12"/>
  <c r="M142" i="12"/>
  <c r="C81" i="12"/>
  <c r="C95" i="12"/>
  <c r="C107" i="12"/>
  <c r="C119" i="12"/>
  <c r="C131" i="12"/>
  <c r="C143" i="12"/>
  <c r="D81" i="12"/>
  <c r="D95" i="12"/>
  <c r="D107" i="12"/>
  <c r="D119" i="12"/>
  <c r="D131" i="12"/>
  <c r="D143" i="12"/>
  <c r="E81" i="12"/>
  <c r="E95" i="12"/>
  <c r="E107" i="12"/>
  <c r="E119" i="12"/>
  <c r="E131" i="12"/>
  <c r="E143" i="12"/>
  <c r="F81" i="12"/>
  <c r="F95" i="12"/>
  <c r="F107" i="12"/>
  <c r="F119" i="12"/>
  <c r="F131" i="12"/>
  <c r="F143" i="12"/>
  <c r="G107" i="12"/>
  <c r="G119" i="12"/>
  <c r="G131" i="12"/>
  <c r="G143" i="12"/>
  <c r="H81" i="12"/>
  <c r="H95" i="12"/>
  <c r="H107" i="12"/>
  <c r="H119" i="12"/>
  <c r="H131" i="12"/>
  <c r="H143" i="12"/>
  <c r="I65" i="12"/>
  <c r="I81" i="12"/>
  <c r="I95" i="12"/>
  <c r="I107" i="12"/>
  <c r="I119" i="12"/>
  <c r="I131" i="12"/>
  <c r="I143" i="12"/>
  <c r="J81" i="12"/>
  <c r="J95" i="12"/>
  <c r="J107" i="12"/>
  <c r="J119" i="12"/>
  <c r="J131" i="12"/>
  <c r="J143" i="12"/>
  <c r="K65" i="12"/>
  <c r="K81" i="12"/>
  <c r="K95" i="12"/>
  <c r="K107" i="12"/>
  <c r="K119" i="12"/>
  <c r="K131" i="12"/>
  <c r="K143" i="12"/>
  <c r="L143" i="12"/>
  <c r="M143" i="12"/>
  <c r="C108" i="12"/>
  <c r="C120" i="12"/>
  <c r="C132" i="12"/>
  <c r="C144" i="12"/>
  <c r="D108" i="12"/>
  <c r="D120" i="12"/>
  <c r="D132" i="12"/>
  <c r="D144" i="12"/>
  <c r="E108" i="12"/>
  <c r="E120" i="12"/>
  <c r="E132" i="12"/>
  <c r="E144" i="12"/>
  <c r="F108" i="12"/>
  <c r="F120" i="12"/>
  <c r="F132" i="12"/>
  <c r="F144" i="12"/>
  <c r="G108" i="12"/>
  <c r="G120" i="12"/>
  <c r="G132" i="12"/>
  <c r="G144" i="12"/>
  <c r="H108" i="12"/>
  <c r="H120" i="12"/>
  <c r="H132" i="12"/>
  <c r="H144" i="12"/>
  <c r="I66" i="12"/>
  <c r="I82" i="12"/>
  <c r="I96" i="12"/>
  <c r="I108" i="12"/>
  <c r="I120" i="12"/>
  <c r="I132" i="12"/>
  <c r="I144" i="12"/>
  <c r="J108" i="12"/>
  <c r="J120" i="12"/>
  <c r="J132" i="12"/>
  <c r="J144" i="12"/>
  <c r="K66" i="12"/>
  <c r="K82" i="12"/>
  <c r="K96" i="12"/>
  <c r="K108" i="12"/>
  <c r="K120" i="12"/>
  <c r="K132" i="12"/>
  <c r="K144" i="12"/>
  <c r="L144" i="12"/>
  <c r="M144" i="12"/>
  <c r="C85" i="12"/>
  <c r="C97" i="12"/>
  <c r="C109" i="12"/>
  <c r="C121" i="12"/>
  <c r="C133" i="12"/>
  <c r="C145" i="12"/>
  <c r="D85" i="12"/>
  <c r="D97" i="12"/>
  <c r="D109" i="12"/>
  <c r="D121" i="12"/>
  <c r="D133" i="12"/>
  <c r="D145" i="12"/>
  <c r="E85" i="12"/>
  <c r="E97" i="12"/>
  <c r="E109" i="12"/>
  <c r="E121" i="12"/>
  <c r="E133" i="12"/>
  <c r="E145" i="12"/>
  <c r="F85" i="12"/>
  <c r="F97" i="12"/>
  <c r="F109" i="12"/>
  <c r="F121" i="12"/>
  <c r="F133" i="12"/>
  <c r="F145" i="12"/>
  <c r="G109" i="12"/>
  <c r="G121" i="12"/>
  <c r="G133" i="12"/>
  <c r="G145" i="12"/>
  <c r="H85" i="12"/>
  <c r="H97" i="12"/>
  <c r="H109" i="12"/>
  <c r="H121" i="12"/>
  <c r="H133" i="12"/>
  <c r="H145" i="12"/>
  <c r="I69" i="12"/>
  <c r="I85" i="12"/>
  <c r="I97" i="12"/>
  <c r="I109" i="12"/>
  <c r="I121" i="12"/>
  <c r="I133" i="12"/>
  <c r="I145" i="12"/>
  <c r="J85" i="12"/>
  <c r="J97" i="12"/>
  <c r="J109" i="12"/>
  <c r="J121" i="12"/>
  <c r="J133" i="12"/>
  <c r="J145" i="12"/>
  <c r="K69" i="12"/>
  <c r="K85" i="12"/>
  <c r="K97" i="12"/>
  <c r="K109" i="12"/>
  <c r="K121" i="12"/>
  <c r="K133" i="12"/>
  <c r="K145" i="12"/>
  <c r="L145" i="12"/>
  <c r="M145" i="12"/>
  <c r="L141" i="12"/>
  <c r="M148" i="12"/>
  <c r="M146" i="12"/>
  <c r="M147" i="12"/>
  <c r="M141" i="12"/>
  <c r="L130" i="12"/>
  <c r="M130" i="12"/>
  <c r="L131" i="12"/>
  <c r="M131" i="12"/>
  <c r="L132" i="12"/>
  <c r="M132" i="12"/>
  <c r="L133" i="12"/>
  <c r="M133" i="12"/>
  <c r="L129" i="12"/>
  <c r="M136" i="12"/>
  <c r="M134" i="12"/>
  <c r="M135" i="12"/>
  <c r="M129" i="12"/>
  <c r="L118" i="12"/>
  <c r="M118" i="12"/>
  <c r="L119" i="12"/>
  <c r="M119" i="12"/>
  <c r="L120" i="12"/>
  <c r="M120" i="12"/>
  <c r="L121" i="12"/>
  <c r="M121" i="12"/>
  <c r="L117" i="12"/>
  <c r="M124" i="12"/>
  <c r="M122" i="12"/>
  <c r="M123" i="12"/>
  <c r="M117" i="12"/>
  <c r="L106" i="12"/>
  <c r="M106" i="12"/>
  <c r="L107" i="12"/>
  <c r="M107" i="12"/>
  <c r="L108" i="12"/>
  <c r="M108" i="12"/>
  <c r="L109" i="12"/>
  <c r="M109" i="12"/>
  <c r="L105" i="12"/>
  <c r="M112" i="12"/>
  <c r="M110" i="12"/>
  <c r="M111" i="12"/>
  <c r="M105" i="12"/>
  <c r="L94" i="12"/>
  <c r="M94" i="12"/>
  <c r="L95" i="12"/>
  <c r="M95" i="12"/>
  <c r="L97" i="12"/>
  <c r="M97" i="12"/>
  <c r="L93" i="12"/>
  <c r="M100" i="12"/>
  <c r="M98" i="12"/>
  <c r="M99" i="12"/>
  <c r="M93" i="12"/>
  <c r="L78" i="12"/>
  <c r="M78" i="12"/>
  <c r="G81" i="12"/>
  <c r="L81" i="12"/>
  <c r="M81" i="12"/>
  <c r="G83" i="12"/>
  <c r="G84" i="12"/>
  <c r="G82" i="12"/>
  <c r="L82" i="12"/>
  <c r="M82" i="12"/>
  <c r="G85" i="12"/>
  <c r="L85" i="12"/>
  <c r="M85" i="12"/>
  <c r="L77" i="12"/>
  <c r="M88" i="12"/>
  <c r="M86" i="12"/>
  <c r="M87" i="12"/>
  <c r="M77" i="12"/>
  <c r="C63" i="12"/>
  <c r="C64" i="12"/>
  <c r="C62" i="12"/>
  <c r="D63" i="12"/>
  <c r="D64" i="12"/>
  <c r="D62" i="12"/>
  <c r="E63" i="12"/>
  <c r="E64" i="12"/>
  <c r="E62" i="12"/>
  <c r="F63" i="12"/>
  <c r="F64" i="12"/>
  <c r="F62" i="12"/>
  <c r="G63" i="12"/>
  <c r="G64" i="12"/>
  <c r="G62" i="12"/>
  <c r="J63" i="12"/>
  <c r="J64" i="12"/>
  <c r="J62" i="12"/>
  <c r="C65" i="12"/>
  <c r="D65" i="12"/>
  <c r="E65" i="12"/>
  <c r="F65" i="12"/>
  <c r="G65" i="12"/>
  <c r="J65" i="12"/>
  <c r="C67" i="12"/>
  <c r="C68" i="12"/>
  <c r="C66" i="12"/>
  <c r="D67" i="12"/>
  <c r="D68" i="12"/>
  <c r="D66" i="12"/>
  <c r="E67" i="12"/>
  <c r="E68" i="12"/>
  <c r="E66" i="12"/>
  <c r="F67" i="12"/>
  <c r="F68" i="12"/>
  <c r="F66" i="12"/>
  <c r="G67" i="12"/>
  <c r="G68" i="12"/>
  <c r="G66" i="12"/>
  <c r="J67" i="12"/>
  <c r="J68" i="12"/>
  <c r="J66" i="12"/>
  <c r="C69" i="12"/>
  <c r="D69" i="12"/>
  <c r="E69" i="12"/>
  <c r="F69" i="12"/>
  <c r="G69" i="12"/>
  <c r="J69" i="12"/>
  <c r="M72" i="12"/>
  <c r="M41" i="12"/>
  <c r="M44" i="12"/>
  <c r="M45" i="12"/>
  <c r="M48" i="12"/>
  <c r="M51" i="12"/>
  <c r="M50" i="12"/>
  <c r="M40" i="12"/>
  <c r="L29" i="12"/>
  <c r="M29" i="12"/>
  <c r="L30" i="12"/>
  <c r="M30" i="12"/>
  <c r="L31" i="12"/>
  <c r="M31" i="12"/>
  <c r="L32" i="12"/>
  <c r="M32" i="12"/>
  <c r="M28" i="12"/>
  <c r="P78" i="12"/>
  <c r="P142" i="12"/>
  <c r="P130" i="12"/>
  <c r="P118" i="12"/>
  <c r="P106" i="12"/>
  <c r="P94" i="12"/>
  <c r="K40" i="12"/>
  <c r="I40" i="12"/>
  <c r="K61" i="12"/>
  <c r="I61" i="12"/>
  <c r="K77" i="12"/>
  <c r="I77" i="12"/>
  <c r="P81" i="12"/>
  <c r="P44" i="12"/>
  <c r="C141" i="12"/>
  <c r="D141" i="12"/>
  <c r="E141" i="12"/>
  <c r="F141" i="12"/>
  <c r="G141" i="12"/>
  <c r="H141" i="12"/>
  <c r="I141" i="12"/>
  <c r="J141" i="12"/>
  <c r="K141" i="12"/>
  <c r="P141" i="12"/>
  <c r="C129" i="12"/>
  <c r="D129" i="12"/>
  <c r="E129" i="12"/>
  <c r="F129" i="12"/>
  <c r="G129" i="12"/>
  <c r="H129" i="12"/>
  <c r="I129" i="12"/>
  <c r="J129" i="12"/>
  <c r="K129" i="12"/>
  <c r="P129" i="12"/>
  <c r="C117" i="12"/>
  <c r="D117" i="12"/>
  <c r="E117" i="12"/>
  <c r="F117" i="12"/>
  <c r="G117" i="12"/>
  <c r="H117" i="12"/>
  <c r="I117" i="12"/>
  <c r="J117" i="12"/>
  <c r="K117" i="12"/>
  <c r="P117" i="12"/>
  <c r="C105" i="12"/>
  <c r="D105" i="12"/>
  <c r="E105" i="12"/>
  <c r="F105" i="12"/>
  <c r="G105" i="12"/>
  <c r="H105" i="12"/>
  <c r="I105" i="12"/>
  <c r="J105" i="12"/>
  <c r="K105" i="12"/>
  <c r="P105" i="12"/>
  <c r="C93" i="12"/>
  <c r="D93" i="12"/>
  <c r="E93" i="12"/>
  <c r="F93" i="12"/>
  <c r="G93" i="12"/>
  <c r="H93" i="12"/>
  <c r="I93" i="12"/>
  <c r="J93" i="12"/>
  <c r="K93" i="12"/>
  <c r="P93" i="12"/>
  <c r="C77" i="12"/>
  <c r="D77" i="12"/>
  <c r="E77" i="12"/>
  <c r="F77" i="12"/>
  <c r="G77" i="12"/>
  <c r="H77" i="12"/>
  <c r="J77" i="12"/>
  <c r="P77" i="12"/>
  <c r="M35" i="12"/>
  <c r="C61" i="12"/>
  <c r="D61" i="12"/>
  <c r="E61" i="12"/>
  <c r="F61" i="12"/>
  <c r="G61" i="12"/>
  <c r="J61" i="12"/>
  <c r="P41" i="12"/>
  <c r="C40" i="12"/>
  <c r="D40" i="12"/>
  <c r="E40" i="12"/>
  <c r="F40" i="12"/>
  <c r="G40" i="12"/>
  <c r="H40" i="12"/>
  <c r="J40" i="12"/>
  <c r="P40" i="12"/>
  <c r="N146" i="12"/>
  <c r="N134" i="12"/>
  <c r="N122" i="12"/>
  <c r="N110" i="12"/>
  <c r="N98" i="12"/>
  <c r="N86" i="12"/>
  <c r="N49" i="12"/>
  <c r="M33" i="12"/>
  <c r="M34" i="12"/>
  <c r="C29" i="12"/>
  <c r="D29" i="12"/>
  <c r="E29" i="12"/>
  <c r="F29" i="12"/>
  <c r="G29" i="12"/>
  <c r="H29" i="12"/>
  <c r="I29" i="12"/>
  <c r="J29" i="12"/>
  <c r="K29" i="12"/>
  <c r="C30" i="12"/>
  <c r="D30" i="12"/>
  <c r="E30" i="12"/>
  <c r="F30" i="12"/>
  <c r="G30" i="12"/>
  <c r="H30" i="12"/>
  <c r="I30" i="12"/>
  <c r="J30" i="12"/>
  <c r="K30" i="12"/>
  <c r="C31" i="12"/>
  <c r="D31" i="12"/>
  <c r="E31" i="12"/>
  <c r="F31" i="12"/>
  <c r="G31" i="12"/>
  <c r="H31" i="12"/>
  <c r="I31" i="12"/>
  <c r="J31" i="12"/>
  <c r="K31" i="12"/>
  <c r="C32" i="12"/>
  <c r="D32" i="12"/>
  <c r="E32" i="12"/>
  <c r="F32" i="12"/>
  <c r="G32" i="12"/>
  <c r="H32" i="12"/>
  <c r="I32" i="12"/>
  <c r="J32" i="12"/>
  <c r="K32" i="12"/>
  <c r="N33" i="12"/>
  <c r="N32" i="12"/>
  <c r="N31" i="12"/>
  <c r="N30" i="12"/>
  <c r="N29" i="12"/>
  <c r="M21" i="12"/>
  <c r="M22" i="12"/>
  <c r="C17" i="12"/>
  <c r="D17" i="12"/>
  <c r="E17" i="12"/>
  <c r="F17" i="12"/>
  <c r="G17" i="12"/>
  <c r="H17" i="12"/>
  <c r="I17" i="12"/>
  <c r="J17" i="12"/>
  <c r="K17" i="12"/>
  <c r="L17" i="12"/>
  <c r="M17" i="12"/>
  <c r="C18" i="12"/>
  <c r="D18" i="12"/>
  <c r="E18" i="12"/>
  <c r="F18" i="12"/>
  <c r="G18" i="12"/>
  <c r="H18" i="12"/>
  <c r="I18" i="12"/>
  <c r="J18" i="12"/>
  <c r="K18" i="12"/>
  <c r="L18" i="12"/>
  <c r="M18" i="12"/>
  <c r="C19" i="12"/>
  <c r="D19" i="12"/>
  <c r="E19" i="12"/>
  <c r="F19" i="12"/>
  <c r="G19" i="12"/>
  <c r="H19" i="12"/>
  <c r="I19" i="12"/>
  <c r="J19" i="12"/>
  <c r="K19" i="12"/>
  <c r="L19" i="12"/>
  <c r="M19" i="12"/>
  <c r="C20" i="12"/>
  <c r="D20" i="12"/>
  <c r="E20" i="12"/>
  <c r="F20" i="12"/>
  <c r="G20" i="12"/>
  <c r="H20" i="12"/>
  <c r="I20" i="12"/>
  <c r="J20" i="12"/>
  <c r="K20" i="12"/>
  <c r="L20" i="12"/>
  <c r="M20" i="12"/>
  <c r="M23" i="12"/>
  <c r="M16" i="12"/>
  <c r="N21" i="12"/>
  <c r="N20" i="12"/>
  <c r="N19" i="12"/>
  <c r="N18" i="12"/>
  <c r="N17" i="12"/>
  <c r="M9" i="12"/>
  <c r="M10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C7" i="12"/>
  <c r="D7" i="12"/>
  <c r="E7" i="12"/>
  <c r="F7" i="12"/>
  <c r="G7" i="12"/>
  <c r="H7" i="12"/>
  <c r="I7" i="12"/>
  <c r="J7" i="12"/>
  <c r="K7" i="12"/>
  <c r="L7" i="12"/>
  <c r="M7" i="12"/>
  <c r="C8" i="12"/>
  <c r="D8" i="12"/>
  <c r="E8" i="12"/>
  <c r="F8" i="12"/>
  <c r="G8" i="12"/>
  <c r="H8" i="12"/>
  <c r="I8" i="12"/>
  <c r="J8" i="12"/>
  <c r="K8" i="12"/>
  <c r="L8" i="12"/>
  <c r="M8" i="12"/>
  <c r="M11" i="12"/>
  <c r="M4" i="12"/>
  <c r="N9" i="12"/>
  <c r="N8" i="12"/>
  <c r="N7" i="12"/>
  <c r="C28" i="12"/>
  <c r="D28" i="12"/>
  <c r="E28" i="12"/>
  <c r="F28" i="12"/>
  <c r="G28" i="12"/>
  <c r="H28" i="12"/>
  <c r="I28" i="12"/>
  <c r="J28" i="12"/>
  <c r="K28" i="12"/>
  <c r="L28" i="12"/>
  <c r="S112" i="11"/>
  <c r="S83" i="11"/>
  <c r="S79" i="11"/>
  <c r="S59" i="11"/>
  <c r="S50" i="11"/>
  <c r="S45" i="11"/>
  <c r="S34" i="11"/>
  <c r="S23" i="11"/>
  <c r="S19" i="11"/>
  <c r="S15" i="11"/>
  <c r="S7" i="11"/>
  <c r="L7" i="11"/>
  <c r="K7" i="11"/>
  <c r="J7" i="11"/>
  <c r="I7" i="11"/>
  <c r="L15" i="11"/>
  <c r="K15" i="11"/>
  <c r="J15" i="11"/>
  <c r="I15" i="11"/>
  <c r="L19" i="11"/>
  <c r="K19" i="11"/>
  <c r="J19" i="11"/>
  <c r="I19" i="11"/>
  <c r="L21" i="11"/>
  <c r="K21" i="11"/>
  <c r="J21" i="11"/>
  <c r="I21" i="11"/>
  <c r="L23" i="11"/>
  <c r="K23" i="11"/>
  <c r="J23" i="11"/>
  <c r="I23" i="11"/>
  <c r="L34" i="11"/>
  <c r="K34" i="11"/>
  <c r="J34" i="11"/>
  <c r="I34" i="11"/>
  <c r="L45" i="11"/>
  <c r="K45" i="11"/>
  <c r="J45" i="11"/>
  <c r="I45" i="11"/>
  <c r="L50" i="11"/>
  <c r="K50" i="11"/>
  <c r="J50" i="11"/>
  <c r="I50" i="11"/>
  <c r="L59" i="11"/>
  <c r="K59" i="11"/>
  <c r="J59" i="11"/>
  <c r="I59" i="11"/>
  <c r="L64" i="11"/>
  <c r="K64" i="11"/>
  <c r="J64" i="11"/>
  <c r="I64" i="11"/>
  <c r="L69" i="11"/>
  <c r="K69" i="11"/>
  <c r="J69" i="11"/>
  <c r="I69" i="11"/>
  <c r="L75" i="11"/>
  <c r="K75" i="11"/>
  <c r="J75" i="11"/>
  <c r="I75" i="11"/>
  <c r="L79" i="11"/>
  <c r="K79" i="11"/>
  <c r="J79" i="11"/>
  <c r="I79" i="11"/>
  <c r="L83" i="11"/>
  <c r="K83" i="11"/>
  <c r="J83" i="11"/>
  <c r="I83" i="11"/>
  <c r="L112" i="11"/>
  <c r="G21" i="11"/>
  <c r="F21" i="11"/>
  <c r="E21" i="11"/>
  <c r="R123" i="11"/>
  <c r="Q123" i="11"/>
  <c r="P123" i="11"/>
  <c r="O123" i="11"/>
  <c r="N123" i="11"/>
  <c r="L123" i="11"/>
  <c r="M112" i="11"/>
  <c r="K123" i="11"/>
  <c r="J123" i="11"/>
  <c r="I123" i="11"/>
  <c r="G123" i="11"/>
  <c r="F123" i="11"/>
  <c r="E123" i="11"/>
  <c r="G112" i="11"/>
  <c r="F112" i="11"/>
  <c r="E112" i="11"/>
  <c r="G83" i="11"/>
  <c r="F83" i="11"/>
  <c r="E83" i="11"/>
  <c r="G79" i="11"/>
  <c r="F79" i="11"/>
  <c r="E79" i="11"/>
  <c r="G75" i="11"/>
  <c r="F75" i="11"/>
  <c r="E75" i="11"/>
  <c r="G69" i="11"/>
  <c r="F69" i="11"/>
  <c r="E69" i="11"/>
  <c r="G64" i="11"/>
  <c r="F64" i="11"/>
  <c r="E64" i="11"/>
  <c r="G59" i="11"/>
  <c r="F59" i="11"/>
  <c r="E59" i="11"/>
  <c r="G50" i="11"/>
  <c r="F50" i="11"/>
  <c r="E50" i="11"/>
  <c r="G45" i="11"/>
  <c r="F45" i="11"/>
  <c r="E45" i="11"/>
  <c r="G34" i="11"/>
  <c r="F34" i="11"/>
  <c r="E34" i="11"/>
  <c r="G23" i="11"/>
  <c r="F23" i="11"/>
  <c r="E23" i="11"/>
  <c r="G19" i="11"/>
  <c r="F19" i="11"/>
  <c r="E19" i="11"/>
  <c r="G15" i="11"/>
  <c r="F15" i="11"/>
  <c r="E15" i="11"/>
  <c r="G7" i="11"/>
  <c r="F7" i="11"/>
  <c r="E7" i="11"/>
  <c r="I112" i="11"/>
  <c r="J112" i="11"/>
  <c r="K112" i="11"/>
  <c r="D123" i="11"/>
  <c r="D112" i="11"/>
  <c r="D83" i="11"/>
  <c r="D79" i="11"/>
  <c r="D75" i="11"/>
  <c r="D69" i="11"/>
  <c r="D64" i="11"/>
  <c r="D59" i="11"/>
  <c r="D50" i="11"/>
  <c r="D45" i="11"/>
  <c r="D34" i="11"/>
  <c r="D23" i="11"/>
  <c r="D21" i="11"/>
  <c r="D19" i="11"/>
  <c r="D15" i="11"/>
  <c r="D7" i="11"/>
  <c r="M69" i="11"/>
  <c r="M45" i="11"/>
  <c r="M19" i="11"/>
  <c r="M83" i="11"/>
  <c r="M64" i="11"/>
  <c r="M34" i="11"/>
  <c r="M15" i="11"/>
  <c r="M79" i="11"/>
  <c r="M59" i="11"/>
  <c r="M23" i="11"/>
  <c r="M7" i="11"/>
  <c r="M120" i="11"/>
  <c r="M75" i="11"/>
  <c r="M50" i="11"/>
  <c r="M21" i="11"/>
  <c r="H112" i="11"/>
  <c r="H69" i="11"/>
  <c r="H45" i="11"/>
  <c r="H15" i="11"/>
  <c r="H79" i="11"/>
  <c r="H21" i="11"/>
  <c r="H75" i="11"/>
  <c r="H19" i="11"/>
  <c r="H83" i="11"/>
  <c r="H64" i="11"/>
  <c r="H34" i="11"/>
  <c r="H7" i="11"/>
  <c r="H59" i="11"/>
  <c r="H120" i="11"/>
  <c r="H50" i="11"/>
  <c r="E16" i="12"/>
  <c r="F16" i="12"/>
  <c r="I16" i="12"/>
  <c r="J16" i="12"/>
  <c r="G16" i="12"/>
  <c r="K16" i="12"/>
  <c r="D16" i="12"/>
  <c r="H16" i="12"/>
  <c r="AG125" i="10"/>
  <c r="AG122" i="10"/>
  <c r="AG121" i="10"/>
  <c r="AG120" i="10"/>
  <c r="AG116" i="10"/>
  <c r="AG115" i="10"/>
  <c r="AG114" i="10"/>
  <c r="AG113" i="10"/>
  <c r="AG112" i="10"/>
  <c r="AG111" i="10"/>
  <c r="AG110" i="10"/>
  <c r="AG109" i="10"/>
  <c r="AG108" i="10"/>
  <c r="AG107" i="10"/>
  <c r="AG106" i="10"/>
  <c r="AG105" i="10"/>
  <c r="AG104" i="10"/>
  <c r="AG103" i="10"/>
  <c r="AG102" i="10"/>
  <c r="AG101" i="10"/>
  <c r="AG100" i="10"/>
  <c r="AG99" i="10"/>
  <c r="AG98" i="10"/>
  <c r="AG97" i="10"/>
  <c r="AG96" i="10"/>
  <c r="AG95" i="10"/>
  <c r="AG94" i="10"/>
  <c r="AG93" i="10"/>
  <c r="AG92" i="10"/>
  <c r="AG91" i="10"/>
  <c r="AG90" i="10"/>
  <c r="AG89" i="10"/>
  <c r="AG88" i="10"/>
  <c r="AG87" i="10"/>
  <c r="AG86" i="10"/>
  <c r="AG85" i="10"/>
  <c r="AG84" i="10"/>
  <c r="AG83" i="10"/>
  <c r="AG82" i="10"/>
  <c r="AG81" i="10"/>
  <c r="AG80" i="10"/>
  <c r="AG79" i="10"/>
  <c r="AG78" i="10"/>
  <c r="AG77" i="10"/>
  <c r="AG76" i="10"/>
  <c r="AG75" i="10"/>
  <c r="AG74" i="10"/>
  <c r="AG73" i="10"/>
  <c r="AG72" i="10"/>
  <c r="AG71" i="10"/>
  <c r="AG70" i="10"/>
  <c r="AG67" i="10"/>
  <c r="AG69" i="10"/>
  <c r="AG68" i="10"/>
  <c r="AG66" i="10"/>
  <c r="AG65" i="10"/>
  <c r="AG64" i="10"/>
  <c r="AG63" i="10"/>
  <c r="AG62" i="10"/>
  <c r="AG61" i="10"/>
  <c r="AG60" i="10"/>
  <c r="AG59" i="10"/>
  <c r="AG58" i="10"/>
  <c r="AG57" i="10"/>
  <c r="AG56" i="10"/>
  <c r="AG55" i="10"/>
  <c r="AG54" i="10"/>
  <c r="AG53" i="10"/>
  <c r="AG52" i="10"/>
  <c r="AG51" i="10"/>
  <c r="AG50" i="10"/>
  <c r="AG48" i="10"/>
  <c r="AG49" i="10"/>
  <c r="AG47" i="10"/>
  <c r="AG46" i="10"/>
  <c r="AG43" i="10"/>
  <c r="AG45" i="10"/>
  <c r="AG44" i="10"/>
  <c r="AG42" i="10"/>
  <c r="AG41" i="10"/>
  <c r="AG40" i="10"/>
  <c r="AG39" i="10"/>
  <c r="AG38" i="10"/>
  <c r="AG37" i="10"/>
  <c r="AG36" i="10"/>
  <c r="AG35" i="10"/>
  <c r="AG34" i="10"/>
  <c r="AG33" i="10"/>
  <c r="AG32" i="10"/>
  <c r="AG30" i="10"/>
  <c r="AG29" i="10"/>
  <c r="AG28" i="10"/>
  <c r="AG27" i="10"/>
  <c r="AG26" i="10"/>
  <c r="AG25" i="10"/>
  <c r="AG23" i="10"/>
  <c r="AG24" i="10"/>
  <c r="AG22" i="10"/>
  <c r="AG21" i="10"/>
  <c r="AG20" i="10"/>
  <c r="AG19" i="10"/>
  <c r="AG18" i="10"/>
  <c r="AG17" i="10"/>
  <c r="AG15" i="10"/>
  <c r="AG16" i="10"/>
  <c r="AG13" i="10"/>
  <c r="AG12" i="10"/>
  <c r="AG11" i="10"/>
  <c r="AG10" i="10"/>
  <c r="AG9" i="10"/>
  <c r="AG8" i="10"/>
  <c r="AG7" i="10"/>
  <c r="AA125" i="10"/>
  <c r="AA120" i="10"/>
  <c r="AA116" i="10"/>
  <c r="AA115" i="10"/>
  <c r="AA114" i="10"/>
  <c r="AA113" i="10"/>
  <c r="AA112" i="10"/>
  <c r="AA111" i="10"/>
  <c r="AA110" i="10"/>
  <c r="AA109" i="10"/>
  <c r="AA108" i="10"/>
  <c r="AA107" i="10"/>
  <c r="AA106" i="10"/>
  <c r="AA105" i="10"/>
  <c r="AA104" i="10"/>
  <c r="AA103" i="10"/>
  <c r="AA102" i="10"/>
  <c r="AA101" i="10"/>
  <c r="AA100" i="10"/>
  <c r="AA99" i="10"/>
  <c r="AA98" i="10"/>
  <c r="AA97" i="10"/>
  <c r="AA96" i="10"/>
  <c r="AA95" i="10"/>
  <c r="AA94" i="10"/>
  <c r="AA93" i="10"/>
  <c r="AA92" i="10"/>
  <c r="AA91" i="10"/>
  <c r="AA90" i="10"/>
  <c r="AA89" i="10"/>
  <c r="AA88" i="10"/>
  <c r="AA87" i="10"/>
  <c r="AA86" i="10"/>
  <c r="AA85" i="10"/>
  <c r="AA84" i="10"/>
  <c r="AA83" i="10"/>
  <c r="AA82" i="10"/>
  <c r="AA81" i="10"/>
  <c r="AA80" i="10"/>
  <c r="AA79" i="10"/>
  <c r="AA78" i="10"/>
  <c r="AA77" i="10"/>
  <c r="AA76" i="10"/>
  <c r="AA75" i="10"/>
  <c r="AA74" i="10"/>
  <c r="AA73" i="10"/>
  <c r="AA72" i="10"/>
  <c r="AA71" i="10"/>
  <c r="AA70" i="10"/>
  <c r="AA69" i="10"/>
  <c r="AA68" i="10"/>
  <c r="AA67" i="10"/>
  <c r="AA66" i="10"/>
  <c r="AA65" i="10"/>
  <c r="AA64" i="10"/>
  <c r="AA63" i="10"/>
  <c r="AA62" i="10"/>
  <c r="AA61" i="10"/>
  <c r="AA60" i="10"/>
  <c r="AA59" i="10"/>
  <c r="AA58" i="10"/>
  <c r="AA57" i="10"/>
  <c r="AA56" i="10"/>
  <c r="AA55" i="10"/>
  <c r="AA54" i="10"/>
  <c r="AA53" i="10"/>
  <c r="AA52" i="10"/>
  <c r="AA51" i="10"/>
  <c r="AA50" i="10"/>
  <c r="AA49" i="10"/>
  <c r="AA48" i="10"/>
  <c r="AA47" i="10"/>
  <c r="AA46" i="10"/>
  <c r="AA45" i="10"/>
  <c r="AA44" i="10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V120" i="10"/>
  <c r="V109" i="10"/>
  <c r="V81" i="10"/>
  <c r="V77" i="10"/>
  <c r="V73" i="10"/>
  <c r="V67" i="10"/>
  <c r="V62" i="10"/>
  <c r="V57" i="10"/>
  <c r="V48" i="10"/>
  <c r="V118" i="10"/>
  <c r="V123" i="10"/>
  <c r="V127" i="10"/>
  <c r="V43" i="10"/>
  <c r="V33" i="10"/>
  <c r="V23" i="10"/>
  <c r="V21" i="10"/>
  <c r="V19" i="10"/>
  <c r="V15" i="10"/>
  <c r="V7" i="10"/>
  <c r="Q120" i="10"/>
  <c r="Q109" i="10"/>
  <c r="Q81" i="10"/>
  <c r="Q77" i="10"/>
  <c r="Q73" i="10"/>
  <c r="Q67" i="10"/>
  <c r="Q64" i="10"/>
  <c r="Q63" i="10"/>
  <c r="Q62" i="10"/>
  <c r="Q57" i="10"/>
  <c r="Q48" i="10"/>
  <c r="Q43" i="10"/>
  <c r="Q33" i="10"/>
  <c r="Q23" i="10"/>
  <c r="Q21" i="10"/>
  <c r="Q19" i="10"/>
  <c r="Q17" i="10"/>
  <c r="Q15" i="10"/>
  <c r="Q7" i="10"/>
  <c r="L120" i="10"/>
  <c r="L109" i="10"/>
  <c r="L118" i="10"/>
  <c r="L123" i="10"/>
  <c r="L127" i="10"/>
  <c r="L81" i="10"/>
  <c r="L77" i="10"/>
  <c r="L73" i="10"/>
  <c r="L67" i="10"/>
  <c r="L62" i="10"/>
  <c r="L57" i="10"/>
  <c r="L48" i="10"/>
  <c r="L43" i="10"/>
  <c r="L33" i="10"/>
  <c r="L23" i="10"/>
  <c r="L21" i="10"/>
  <c r="L19" i="10"/>
  <c r="L17" i="10"/>
  <c r="L15" i="10"/>
  <c r="L7" i="10"/>
  <c r="G120" i="10"/>
  <c r="G109" i="10"/>
  <c r="G118" i="10"/>
  <c r="G123" i="10"/>
  <c r="G127" i="10"/>
  <c r="G81" i="10"/>
  <c r="G77" i="10"/>
  <c r="G73" i="10"/>
  <c r="G67" i="10"/>
  <c r="G62" i="10"/>
  <c r="G57" i="10"/>
  <c r="G48" i="10"/>
  <c r="G43" i="10"/>
  <c r="G33" i="10"/>
  <c r="G23" i="10"/>
  <c r="G21" i="10"/>
  <c r="G19" i="10"/>
  <c r="G17" i="10"/>
  <c r="G15" i="10"/>
  <c r="G7" i="10"/>
  <c r="C16" i="12"/>
  <c r="AG118" i="10"/>
  <c r="AG123" i="10"/>
  <c r="AG127" i="10"/>
  <c r="AA118" i="10"/>
  <c r="AA123" i="10"/>
  <c r="AA127" i="10"/>
  <c r="Q118" i="10"/>
  <c r="Q123" i="10"/>
  <c r="Q127" i="10"/>
  <c r="L16" i="12"/>
  <c r="M7" i="10"/>
  <c r="M15" i="10"/>
  <c r="M19" i="10"/>
  <c r="M21" i="10"/>
  <c r="M23" i="10"/>
  <c r="M33" i="10"/>
  <c r="M43" i="10"/>
  <c r="M48" i="10"/>
  <c r="M57" i="10"/>
  <c r="M62" i="10"/>
  <c r="M67" i="10"/>
  <c r="M77" i="10"/>
  <c r="M81" i="10"/>
  <c r="M109" i="10"/>
  <c r="M120" i="10"/>
  <c r="M130" i="10"/>
  <c r="R7" i="10"/>
  <c r="R15" i="10"/>
  <c r="R19" i="10"/>
  <c r="R21" i="10"/>
  <c r="R23" i="10"/>
  <c r="R33" i="10"/>
  <c r="R43" i="10"/>
  <c r="R48" i="10"/>
  <c r="R57" i="10"/>
  <c r="R62" i="10"/>
  <c r="R77" i="10"/>
  <c r="R81" i="10"/>
  <c r="R109" i="10"/>
  <c r="R120" i="10"/>
  <c r="R125" i="10"/>
  <c r="R130" i="10"/>
  <c r="AD109" i="10"/>
  <c r="W109" i="10"/>
  <c r="U109" i="10"/>
  <c r="T109" i="10"/>
  <c r="S109" i="10"/>
  <c r="P109" i="10"/>
  <c r="O109" i="10"/>
  <c r="N109" i="10"/>
  <c r="K109" i="10"/>
  <c r="J109" i="10"/>
  <c r="I109" i="10"/>
  <c r="H109" i="10"/>
  <c r="F109" i="10"/>
  <c r="E109" i="10"/>
  <c r="AD81" i="10"/>
  <c r="W81" i="10"/>
  <c r="U81" i="10"/>
  <c r="T81" i="10"/>
  <c r="S81" i="10"/>
  <c r="P81" i="10"/>
  <c r="O81" i="10"/>
  <c r="N81" i="10"/>
  <c r="K81" i="10"/>
  <c r="J81" i="10"/>
  <c r="I81" i="10"/>
  <c r="H81" i="10"/>
  <c r="F81" i="10"/>
  <c r="E81" i="10"/>
  <c r="AD77" i="10"/>
  <c r="W77" i="10"/>
  <c r="U77" i="10"/>
  <c r="T77" i="10"/>
  <c r="S77" i="10"/>
  <c r="P77" i="10"/>
  <c r="O77" i="10"/>
  <c r="N77" i="10"/>
  <c r="K77" i="10"/>
  <c r="J77" i="10"/>
  <c r="I77" i="10"/>
  <c r="H77" i="10"/>
  <c r="F77" i="10"/>
  <c r="E77" i="10"/>
  <c r="AD73" i="10"/>
  <c r="W73" i="10"/>
  <c r="U73" i="10"/>
  <c r="T73" i="10"/>
  <c r="S73" i="10"/>
  <c r="P73" i="10"/>
  <c r="O73" i="10"/>
  <c r="N73" i="10"/>
  <c r="K73" i="10"/>
  <c r="J73" i="10"/>
  <c r="I73" i="10"/>
  <c r="F73" i="10"/>
  <c r="E73" i="10"/>
  <c r="AD67" i="10"/>
  <c r="W67" i="10"/>
  <c r="U67" i="10"/>
  <c r="T67" i="10"/>
  <c r="S67" i="10"/>
  <c r="P67" i="10"/>
  <c r="O67" i="10"/>
  <c r="N67" i="10"/>
  <c r="K67" i="10"/>
  <c r="J67" i="10"/>
  <c r="I67" i="10"/>
  <c r="F67" i="10"/>
  <c r="E67" i="10"/>
  <c r="AD62" i="10"/>
  <c r="W62" i="10"/>
  <c r="U62" i="10"/>
  <c r="T62" i="10"/>
  <c r="S62" i="10"/>
  <c r="P62" i="10"/>
  <c r="O62" i="10"/>
  <c r="N62" i="10"/>
  <c r="K62" i="10"/>
  <c r="J62" i="10"/>
  <c r="I62" i="10"/>
  <c r="H62" i="10"/>
  <c r="F62" i="10"/>
  <c r="E62" i="10"/>
  <c r="AD57" i="10"/>
  <c r="W57" i="10"/>
  <c r="U57" i="10"/>
  <c r="T57" i="10"/>
  <c r="S57" i="10"/>
  <c r="P57" i="10"/>
  <c r="O57" i="10"/>
  <c r="N57" i="10"/>
  <c r="K57" i="10"/>
  <c r="J57" i="10"/>
  <c r="I57" i="10"/>
  <c r="H57" i="10"/>
  <c r="F57" i="10"/>
  <c r="E57" i="10"/>
  <c r="AD48" i="10"/>
  <c r="W48" i="10"/>
  <c r="U48" i="10"/>
  <c r="T48" i="10"/>
  <c r="S48" i="10"/>
  <c r="P48" i="10"/>
  <c r="O48" i="10"/>
  <c r="N48" i="10"/>
  <c r="K48" i="10"/>
  <c r="J48" i="10"/>
  <c r="I48" i="10"/>
  <c r="H48" i="10"/>
  <c r="F48" i="10"/>
  <c r="E48" i="10"/>
  <c r="AD43" i="10"/>
  <c r="W43" i="10"/>
  <c r="U43" i="10"/>
  <c r="T43" i="10"/>
  <c r="S43" i="10"/>
  <c r="P43" i="10"/>
  <c r="O43" i="10"/>
  <c r="N43" i="10"/>
  <c r="K43" i="10"/>
  <c r="J43" i="10"/>
  <c r="I43" i="10"/>
  <c r="H43" i="10"/>
  <c r="F43" i="10"/>
  <c r="E43" i="10"/>
  <c r="AD33" i="10"/>
  <c r="W33" i="10"/>
  <c r="U33" i="10"/>
  <c r="T33" i="10"/>
  <c r="S33" i="10"/>
  <c r="P33" i="10"/>
  <c r="O33" i="10"/>
  <c r="N33" i="10"/>
  <c r="K33" i="10"/>
  <c r="J33" i="10"/>
  <c r="I33" i="10"/>
  <c r="H33" i="10"/>
  <c r="F33" i="10"/>
  <c r="E33" i="10"/>
  <c r="AD23" i="10"/>
  <c r="W23" i="10"/>
  <c r="U23" i="10"/>
  <c r="T23" i="10"/>
  <c r="S23" i="10"/>
  <c r="P23" i="10"/>
  <c r="O23" i="10"/>
  <c r="N23" i="10"/>
  <c r="K23" i="10"/>
  <c r="J23" i="10"/>
  <c r="I23" i="10"/>
  <c r="H23" i="10"/>
  <c r="F23" i="10"/>
  <c r="E23" i="10"/>
  <c r="AF21" i="10"/>
  <c r="AE21" i="10"/>
  <c r="AD21" i="10"/>
  <c r="AC21" i="10"/>
  <c r="Z21" i="10"/>
  <c r="Y21" i="10"/>
  <c r="X21" i="10"/>
  <c r="W21" i="10"/>
  <c r="U21" i="10"/>
  <c r="T21" i="10"/>
  <c r="S21" i="10"/>
  <c r="P21" i="10"/>
  <c r="O21" i="10"/>
  <c r="N21" i="10"/>
  <c r="K21" i="10"/>
  <c r="J21" i="10"/>
  <c r="I21" i="10"/>
  <c r="H21" i="10"/>
  <c r="F21" i="10"/>
  <c r="E21" i="10"/>
  <c r="AD19" i="10"/>
  <c r="AC19" i="10"/>
  <c r="X19" i="10"/>
  <c r="W19" i="10"/>
  <c r="U19" i="10"/>
  <c r="T19" i="10"/>
  <c r="S19" i="10"/>
  <c r="P19" i="10"/>
  <c r="O19" i="10"/>
  <c r="N19" i="10"/>
  <c r="K19" i="10"/>
  <c r="J19" i="10"/>
  <c r="I19" i="10"/>
  <c r="H19" i="10"/>
  <c r="F19" i="10"/>
  <c r="E19" i="10"/>
  <c r="AD15" i="10"/>
  <c r="W15" i="10"/>
  <c r="U15" i="10"/>
  <c r="T15" i="10"/>
  <c r="S15" i="10"/>
  <c r="P15" i="10"/>
  <c r="O15" i="10"/>
  <c r="N15" i="10"/>
  <c r="K15" i="10"/>
  <c r="J15" i="10"/>
  <c r="I15" i="10"/>
  <c r="H15" i="10"/>
  <c r="F15" i="10"/>
  <c r="E15" i="10"/>
  <c r="AD7" i="10"/>
  <c r="AC7" i="10"/>
  <c r="X7" i="10"/>
  <c r="W7" i="10"/>
  <c r="U7" i="10"/>
  <c r="T7" i="10"/>
  <c r="S7" i="10"/>
  <c r="P7" i="10"/>
  <c r="O7" i="10"/>
  <c r="N7" i="10"/>
  <c r="K7" i="10"/>
  <c r="J7" i="10"/>
  <c r="I7" i="10"/>
  <c r="H7" i="10"/>
  <c r="F7" i="10"/>
  <c r="E7" i="10"/>
  <c r="H4" i="12"/>
  <c r="F118" i="10"/>
  <c r="K118" i="10"/>
  <c r="R71" i="10"/>
  <c r="R68" i="10"/>
  <c r="R72" i="10"/>
  <c r="R69" i="10"/>
  <c r="R70" i="10"/>
  <c r="AD118" i="10"/>
  <c r="F4" i="12"/>
  <c r="P118" i="10"/>
  <c r="R76" i="10"/>
  <c r="R74" i="10"/>
  <c r="R75" i="10"/>
  <c r="W118" i="10"/>
  <c r="T118" i="10"/>
  <c r="I118" i="10"/>
  <c r="I4" i="12"/>
  <c r="M75" i="10"/>
  <c r="M76" i="10"/>
  <c r="M74" i="10"/>
  <c r="S118" i="10"/>
  <c r="O118" i="10"/>
  <c r="K4" i="12"/>
  <c r="U118" i="10"/>
  <c r="N118" i="10"/>
  <c r="J4" i="12"/>
  <c r="J118" i="10"/>
  <c r="E118" i="10"/>
  <c r="D109" i="10"/>
  <c r="D62" i="10"/>
  <c r="D33" i="10"/>
  <c r="D23" i="10"/>
  <c r="E4" i="12"/>
  <c r="D4" i="12"/>
  <c r="R73" i="10"/>
  <c r="C4" i="12"/>
  <c r="M73" i="10"/>
  <c r="M118" i="10"/>
  <c r="M123" i="10"/>
  <c r="M127" i="10"/>
  <c r="G4" i="12"/>
  <c r="R67" i="10"/>
  <c r="D7" i="10"/>
  <c r="D21" i="10"/>
  <c r="AH131" i="10"/>
  <c r="AH130" i="10"/>
  <c r="AF131" i="10"/>
  <c r="AF130" i="10"/>
  <c r="J131" i="10"/>
  <c r="J130" i="10"/>
  <c r="I131" i="10"/>
  <c r="AC131" i="10"/>
  <c r="AC130" i="10"/>
  <c r="AD130" i="10"/>
  <c r="AB130" i="10"/>
  <c r="Z130" i="10"/>
  <c r="Y130" i="10"/>
  <c r="X130" i="10"/>
  <c r="W130" i="10"/>
  <c r="U130" i="10"/>
  <c r="T130" i="10"/>
  <c r="S130" i="10"/>
  <c r="P130" i="10"/>
  <c r="O130" i="10"/>
  <c r="N130" i="10"/>
  <c r="K130" i="10"/>
  <c r="I130" i="10"/>
  <c r="H130" i="10"/>
  <c r="F130" i="10"/>
  <c r="E130" i="10"/>
  <c r="D130" i="10"/>
  <c r="Z125" i="10"/>
  <c r="Y125" i="10"/>
  <c r="AE125" i="10"/>
  <c r="X125" i="10"/>
  <c r="AC125" i="10"/>
  <c r="AH122" i="10"/>
  <c r="AF122" i="10"/>
  <c r="AD122" i="10"/>
  <c r="AC122" i="10"/>
  <c r="AH121" i="10"/>
  <c r="AF121" i="10"/>
  <c r="AD121" i="10"/>
  <c r="AD120" i="10"/>
  <c r="AC121" i="10"/>
  <c r="AH120" i="10"/>
  <c r="AF120" i="10"/>
  <c r="AE120" i="10"/>
  <c r="AC120" i="10"/>
  <c r="AB120" i="10"/>
  <c r="Z120" i="10"/>
  <c r="Y120" i="10"/>
  <c r="X120" i="10"/>
  <c r="W120" i="10"/>
  <c r="U120" i="10"/>
  <c r="T120" i="10"/>
  <c r="S120" i="10"/>
  <c r="P120" i="10"/>
  <c r="O120" i="10"/>
  <c r="N120" i="10"/>
  <c r="K120" i="10"/>
  <c r="J120" i="10"/>
  <c r="I120" i="10"/>
  <c r="H120" i="10"/>
  <c r="F120" i="10"/>
  <c r="E120" i="10"/>
  <c r="D120" i="10"/>
  <c r="AB116" i="10"/>
  <c r="AH116" i="10"/>
  <c r="Z116" i="10"/>
  <c r="AF116" i="10"/>
  <c r="Y116" i="10"/>
  <c r="AE116" i="10"/>
  <c r="X116" i="10"/>
  <c r="AC116" i="10"/>
  <c r="AB42" i="10"/>
  <c r="AH42" i="10"/>
  <c r="Z42" i="10"/>
  <c r="AF42" i="10"/>
  <c r="Y42" i="10"/>
  <c r="AE42" i="10"/>
  <c r="X42" i="10"/>
  <c r="AC42" i="10"/>
  <c r="AB22" i="10"/>
  <c r="AB21" i="10"/>
  <c r="Z22" i="10"/>
  <c r="Y22" i="10"/>
  <c r="X22" i="10"/>
  <c r="AB56" i="10"/>
  <c r="AH56" i="10"/>
  <c r="Z56" i="10"/>
  <c r="AF56" i="10"/>
  <c r="Y56" i="10"/>
  <c r="AE56" i="10"/>
  <c r="X56" i="10"/>
  <c r="AC56" i="10"/>
  <c r="AB55" i="10"/>
  <c r="AH55" i="10"/>
  <c r="Z55" i="10"/>
  <c r="AF55" i="10"/>
  <c r="Y55" i="10"/>
  <c r="AE55" i="10"/>
  <c r="X55" i="10"/>
  <c r="AC55" i="10"/>
  <c r="AB54" i="10"/>
  <c r="AH54" i="10"/>
  <c r="Z54" i="10"/>
  <c r="AF54" i="10"/>
  <c r="Y54" i="10"/>
  <c r="AE54" i="10"/>
  <c r="X54" i="10"/>
  <c r="AC54" i="10"/>
  <c r="AB53" i="10"/>
  <c r="AH53" i="10"/>
  <c r="Z53" i="10"/>
  <c r="AF53" i="10"/>
  <c r="Y53" i="10"/>
  <c r="AE53" i="10"/>
  <c r="X53" i="10"/>
  <c r="AC53" i="10"/>
  <c r="AB52" i="10"/>
  <c r="AH52" i="10"/>
  <c r="Z52" i="10"/>
  <c r="AF52" i="10"/>
  <c r="Y52" i="10"/>
  <c r="AE52" i="10"/>
  <c r="X52" i="10"/>
  <c r="AC52" i="10"/>
  <c r="AB51" i="10"/>
  <c r="AH51" i="10"/>
  <c r="Z51" i="10"/>
  <c r="AF51" i="10"/>
  <c r="Y51" i="10"/>
  <c r="AE51" i="10"/>
  <c r="X51" i="10"/>
  <c r="AC51" i="10"/>
  <c r="AB50" i="10"/>
  <c r="AH50" i="10"/>
  <c r="Z50" i="10"/>
  <c r="Y50" i="10"/>
  <c r="AE50" i="10"/>
  <c r="X50" i="10"/>
  <c r="AC50" i="10"/>
  <c r="AB49" i="10"/>
  <c r="Z49" i="10"/>
  <c r="Y49" i="10"/>
  <c r="X49" i="10"/>
  <c r="D48" i="10"/>
  <c r="AB41" i="10"/>
  <c r="AH41" i="10"/>
  <c r="Z41" i="10"/>
  <c r="AF41" i="10"/>
  <c r="Y41" i="10"/>
  <c r="AE41" i="10"/>
  <c r="X41" i="10"/>
  <c r="AC41" i="10"/>
  <c r="AB115" i="10"/>
  <c r="AH115" i="10"/>
  <c r="Z115" i="10"/>
  <c r="AF115" i="10"/>
  <c r="Y115" i="10"/>
  <c r="AE115" i="10"/>
  <c r="X115" i="10"/>
  <c r="AC115" i="10"/>
  <c r="AB40" i="10"/>
  <c r="AH40" i="10"/>
  <c r="Z40" i="10"/>
  <c r="AF40" i="10"/>
  <c r="Y40" i="10"/>
  <c r="AE40" i="10"/>
  <c r="X40" i="10"/>
  <c r="AC40" i="10"/>
  <c r="AB39" i="10"/>
  <c r="AH39" i="10"/>
  <c r="Z39" i="10"/>
  <c r="AF39" i="10"/>
  <c r="Y39" i="10"/>
  <c r="AE39" i="10"/>
  <c r="X39" i="10"/>
  <c r="AC39" i="10"/>
  <c r="AB38" i="10"/>
  <c r="AH38" i="10"/>
  <c r="Z38" i="10"/>
  <c r="AF38" i="10"/>
  <c r="Y38" i="10"/>
  <c r="AE38" i="10"/>
  <c r="X38" i="10"/>
  <c r="AC38" i="10"/>
  <c r="AB37" i="10"/>
  <c r="AH37" i="10"/>
  <c r="Z37" i="10"/>
  <c r="AF37" i="10"/>
  <c r="Y37" i="10"/>
  <c r="AE37" i="10"/>
  <c r="X37" i="10"/>
  <c r="AC37" i="10"/>
  <c r="AB36" i="10"/>
  <c r="AH36" i="10"/>
  <c r="Z36" i="10"/>
  <c r="AF36" i="10"/>
  <c r="Y36" i="10"/>
  <c r="AE36" i="10"/>
  <c r="X36" i="10"/>
  <c r="AC36" i="10"/>
  <c r="AB35" i="10"/>
  <c r="Z35" i="10"/>
  <c r="AF35" i="10"/>
  <c r="Y35" i="10"/>
  <c r="AE35" i="10"/>
  <c r="X35" i="10"/>
  <c r="AC35" i="10"/>
  <c r="AB34" i="10"/>
  <c r="Z34" i="10"/>
  <c r="Y34" i="10"/>
  <c r="X34" i="10"/>
  <c r="AB20" i="10"/>
  <c r="AB19" i="10"/>
  <c r="Z20" i="10"/>
  <c r="Y20" i="10"/>
  <c r="X20" i="10"/>
  <c r="AC20" i="10"/>
  <c r="D19" i="10"/>
  <c r="AB114" i="10"/>
  <c r="AH114" i="10"/>
  <c r="Z114" i="10"/>
  <c r="AF114" i="10"/>
  <c r="Y114" i="10"/>
  <c r="AE114" i="10"/>
  <c r="X114" i="10"/>
  <c r="AC114" i="10"/>
  <c r="AB113" i="10"/>
  <c r="AH113" i="10"/>
  <c r="Z113" i="10"/>
  <c r="AF113" i="10"/>
  <c r="X113" i="10"/>
  <c r="AC113" i="10"/>
  <c r="T113" i="10"/>
  <c r="O113" i="10"/>
  <c r="AB112" i="10"/>
  <c r="AH112" i="10"/>
  <c r="Z112" i="10"/>
  <c r="AF112" i="10"/>
  <c r="Y112" i="10"/>
  <c r="AE112" i="10"/>
  <c r="X112" i="10"/>
  <c r="AC112" i="10"/>
  <c r="AB111" i="10"/>
  <c r="AH111" i="10"/>
  <c r="Z111" i="10"/>
  <c r="AF111" i="10"/>
  <c r="Y111" i="10"/>
  <c r="AE111" i="10"/>
  <c r="X111" i="10"/>
  <c r="AC111" i="10"/>
  <c r="AB110" i="10"/>
  <c r="Z110" i="10"/>
  <c r="Y110" i="10"/>
  <c r="X110" i="10"/>
  <c r="AL109" i="10"/>
  <c r="AK109" i="10"/>
  <c r="AB108" i="10"/>
  <c r="AH108" i="10"/>
  <c r="Z108" i="10"/>
  <c r="AF108" i="10"/>
  <c r="Y108" i="10"/>
  <c r="AE108" i="10"/>
  <c r="X108" i="10"/>
  <c r="AC108" i="10"/>
  <c r="AB107" i="10"/>
  <c r="AH107" i="10"/>
  <c r="Z107" i="10"/>
  <c r="AF107" i="10"/>
  <c r="Y107" i="10"/>
  <c r="AE107" i="10"/>
  <c r="X107" i="10"/>
  <c r="AC107" i="10"/>
  <c r="AB106" i="10"/>
  <c r="AH106" i="10"/>
  <c r="Z106" i="10"/>
  <c r="AF106" i="10"/>
  <c r="Y106" i="10"/>
  <c r="AE106" i="10"/>
  <c r="X106" i="10"/>
  <c r="AC106" i="10"/>
  <c r="AB105" i="10"/>
  <c r="AH105" i="10"/>
  <c r="Z105" i="10"/>
  <c r="AF105" i="10"/>
  <c r="Y105" i="10"/>
  <c r="AE105" i="10"/>
  <c r="X105" i="10"/>
  <c r="AC105" i="10"/>
  <c r="AB104" i="10"/>
  <c r="AH104" i="10"/>
  <c r="Z104" i="10"/>
  <c r="AF104" i="10"/>
  <c r="Y104" i="10"/>
  <c r="AE104" i="10"/>
  <c r="X104" i="10"/>
  <c r="AC104" i="10"/>
  <c r="AB103" i="10"/>
  <c r="AH103" i="10"/>
  <c r="Z103" i="10"/>
  <c r="AF103" i="10"/>
  <c r="Y103" i="10"/>
  <c r="AE103" i="10"/>
  <c r="X103" i="10"/>
  <c r="AC103" i="10"/>
  <c r="AB102" i="10"/>
  <c r="AH102" i="10"/>
  <c r="Z102" i="10"/>
  <c r="AF102" i="10"/>
  <c r="X102" i="10"/>
  <c r="AC102" i="10"/>
  <c r="T102" i="10"/>
  <c r="O102" i="10"/>
  <c r="AB101" i="10"/>
  <c r="AH101" i="10"/>
  <c r="Z101" i="10"/>
  <c r="AF101" i="10"/>
  <c r="Y101" i="10"/>
  <c r="AE101" i="10"/>
  <c r="X101" i="10"/>
  <c r="AC101" i="10"/>
  <c r="AB100" i="10"/>
  <c r="AH100" i="10"/>
  <c r="Z100" i="10"/>
  <c r="AF100" i="10"/>
  <c r="X100" i="10"/>
  <c r="AC100" i="10"/>
  <c r="T100" i="10"/>
  <c r="O100" i="10"/>
  <c r="AB99" i="10"/>
  <c r="AH99" i="10"/>
  <c r="Z99" i="10"/>
  <c r="AF99" i="10"/>
  <c r="Y99" i="10"/>
  <c r="AE99" i="10"/>
  <c r="X99" i="10"/>
  <c r="AC99" i="10"/>
  <c r="AB98" i="10"/>
  <c r="AH98" i="10"/>
  <c r="Z98" i="10"/>
  <c r="AF98" i="10"/>
  <c r="Y98" i="10"/>
  <c r="AE98" i="10"/>
  <c r="X98" i="10"/>
  <c r="AC98" i="10"/>
  <c r="AB97" i="10"/>
  <c r="AH97" i="10"/>
  <c r="Z97" i="10"/>
  <c r="AF97" i="10"/>
  <c r="Y97" i="10"/>
  <c r="AE97" i="10"/>
  <c r="X97" i="10"/>
  <c r="AC97" i="10"/>
  <c r="AB96" i="10"/>
  <c r="AH96" i="10"/>
  <c r="Z96" i="10"/>
  <c r="AF96" i="10"/>
  <c r="Y96" i="10"/>
  <c r="AE96" i="10"/>
  <c r="X96" i="10"/>
  <c r="AC96" i="10"/>
  <c r="AB95" i="10"/>
  <c r="AH95" i="10"/>
  <c r="Z95" i="10"/>
  <c r="AF95" i="10"/>
  <c r="Y95" i="10"/>
  <c r="AE95" i="10"/>
  <c r="X95" i="10"/>
  <c r="AC95" i="10"/>
  <c r="AB94" i="10"/>
  <c r="AH94" i="10"/>
  <c r="Z94" i="10"/>
  <c r="AF94" i="10"/>
  <c r="Y94" i="10"/>
  <c r="AE94" i="10"/>
  <c r="X94" i="10"/>
  <c r="AC94" i="10"/>
  <c r="AB93" i="10"/>
  <c r="AH93" i="10"/>
  <c r="Z93" i="10"/>
  <c r="AF93" i="10"/>
  <c r="Y93" i="10"/>
  <c r="AE93" i="10"/>
  <c r="X93" i="10"/>
  <c r="AC93" i="10"/>
  <c r="AB92" i="10"/>
  <c r="AH92" i="10"/>
  <c r="Z92" i="10"/>
  <c r="AF92" i="10"/>
  <c r="Y92" i="10"/>
  <c r="AE92" i="10"/>
  <c r="X92" i="10"/>
  <c r="AC92" i="10"/>
  <c r="AB91" i="10"/>
  <c r="AH91" i="10"/>
  <c r="Z91" i="10"/>
  <c r="AF91" i="10"/>
  <c r="Y91" i="10"/>
  <c r="AE91" i="10"/>
  <c r="X91" i="10"/>
  <c r="AC91" i="10"/>
  <c r="AB90" i="10"/>
  <c r="AH90" i="10"/>
  <c r="Z90" i="10"/>
  <c r="AF90" i="10"/>
  <c r="Y90" i="10"/>
  <c r="AE90" i="10"/>
  <c r="X90" i="10"/>
  <c r="AC90" i="10"/>
  <c r="AB89" i="10"/>
  <c r="AH89" i="10"/>
  <c r="Z89" i="10"/>
  <c r="AF89" i="10"/>
  <c r="Y89" i="10"/>
  <c r="AE89" i="10"/>
  <c r="X89" i="10"/>
  <c r="AC89" i="10"/>
  <c r="AB88" i="10"/>
  <c r="AH88" i="10"/>
  <c r="Z88" i="10"/>
  <c r="AF88" i="10"/>
  <c r="Y88" i="10"/>
  <c r="AE88" i="10"/>
  <c r="X88" i="10"/>
  <c r="AC88" i="10"/>
  <c r="AB87" i="10"/>
  <c r="AH87" i="10"/>
  <c r="Z87" i="10"/>
  <c r="AF87" i="10"/>
  <c r="Y87" i="10"/>
  <c r="AE87" i="10"/>
  <c r="X87" i="10"/>
  <c r="AC87" i="10"/>
  <c r="AB86" i="10"/>
  <c r="AH86" i="10"/>
  <c r="Z86" i="10"/>
  <c r="AF86" i="10"/>
  <c r="Y86" i="10"/>
  <c r="AE86" i="10"/>
  <c r="X86" i="10"/>
  <c r="AC86" i="10"/>
  <c r="AB85" i="10"/>
  <c r="AH85" i="10"/>
  <c r="Z85" i="10"/>
  <c r="AF85" i="10"/>
  <c r="Y85" i="10"/>
  <c r="AE85" i="10"/>
  <c r="X85" i="10"/>
  <c r="AC85" i="10"/>
  <c r="AB84" i="10"/>
  <c r="AH84" i="10"/>
  <c r="Z84" i="10"/>
  <c r="AF84" i="10"/>
  <c r="Y84" i="10"/>
  <c r="AE84" i="10"/>
  <c r="X84" i="10"/>
  <c r="AC84" i="10"/>
  <c r="AB83" i="10"/>
  <c r="AH83" i="10"/>
  <c r="Z83" i="10"/>
  <c r="AF83" i="10"/>
  <c r="Y83" i="10"/>
  <c r="AE83" i="10"/>
  <c r="X83" i="10"/>
  <c r="AC83" i="10"/>
  <c r="AB82" i="10"/>
  <c r="Z82" i="10"/>
  <c r="Y82" i="10"/>
  <c r="X82" i="10"/>
  <c r="D81" i="10"/>
  <c r="AB32" i="10"/>
  <c r="AH32" i="10"/>
  <c r="Z32" i="10"/>
  <c r="AF32" i="10"/>
  <c r="Y32" i="10"/>
  <c r="AE32" i="10"/>
  <c r="X32" i="10"/>
  <c r="AC32" i="10"/>
  <c r="AB80" i="10"/>
  <c r="AH80" i="10"/>
  <c r="Z80" i="10"/>
  <c r="AF80" i="10"/>
  <c r="Y80" i="10"/>
  <c r="AE80" i="10"/>
  <c r="X80" i="10"/>
  <c r="AC80" i="10"/>
  <c r="AB79" i="10"/>
  <c r="AH79" i="10"/>
  <c r="Z79" i="10"/>
  <c r="AF79" i="10"/>
  <c r="Y79" i="10"/>
  <c r="AE79" i="10"/>
  <c r="X79" i="10"/>
  <c r="AC79" i="10"/>
  <c r="AB78" i="10"/>
  <c r="Z78" i="10"/>
  <c r="Y78" i="10"/>
  <c r="Y77" i="10"/>
  <c r="X78" i="10"/>
  <c r="X77" i="10"/>
  <c r="D77" i="10"/>
  <c r="Z76" i="10"/>
  <c r="AF76" i="10"/>
  <c r="Y76" i="10"/>
  <c r="AE76" i="10"/>
  <c r="X76" i="10"/>
  <c r="AC76" i="10"/>
  <c r="Z75" i="10"/>
  <c r="AF75" i="10"/>
  <c r="Y75" i="10"/>
  <c r="X75" i="10"/>
  <c r="AC75" i="10"/>
  <c r="Z74" i="10"/>
  <c r="Y74" i="10"/>
  <c r="X74" i="10"/>
  <c r="AB76" i="10"/>
  <c r="H74" i="10"/>
  <c r="D73" i="10"/>
  <c r="Z72" i="10"/>
  <c r="AF72" i="10"/>
  <c r="Y72" i="10"/>
  <c r="AE72" i="10"/>
  <c r="X72" i="10"/>
  <c r="AC72" i="10"/>
  <c r="Z71" i="10"/>
  <c r="AF71" i="10"/>
  <c r="Y71" i="10"/>
  <c r="AE71" i="10"/>
  <c r="X71" i="10"/>
  <c r="AC71" i="10"/>
  <c r="Z70" i="10"/>
  <c r="AF70" i="10"/>
  <c r="Y70" i="10"/>
  <c r="AE70" i="10"/>
  <c r="X70" i="10"/>
  <c r="AC70" i="10"/>
  <c r="Z69" i="10"/>
  <c r="AF69" i="10"/>
  <c r="Y69" i="10"/>
  <c r="AE69" i="10"/>
  <c r="X69" i="10"/>
  <c r="AC69" i="10"/>
  <c r="Z68" i="10"/>
  <c r="Y68" i="10"/>
  <c r="X68" i="10"/>
  <c r="AB72" i="10"/>
  <c r="H72" i="10"/>
  <c r="D67" i="10"/>
  <c r="AB65" i="10"/>
  <c r="AH65" i="10"/>
  <c r="Z65" i="10"/>
  <c r="AF65" i="10"/>
  <c r="Y65" i="10"/>
  <c r="AE65" i="10"/>
  <c r="X65" i="10"/>
  <c r="AC65" i="10"/>
  <c r="AB64" i="10"/>
  <c r="Y64" i="10"/>
  <c r="AE64" i="10"/>
  <c r="P64" i="10"/>
  <c r="Z64" i="10"/>
  <c r="N64" i="10"/>
  <c r="X64" i="10"/>
  <c r="AC64" i="10"/>
  <c r="AB63" i="10"/>
  <c r="P63" i="10"/>
  <c r="Z63" i="10"/>
  <c r="O63" i="10"/>
  <c r="Y63" i="10"/>
  <c r="N63" i="10"/>
  <c r="X63" i="10"/>
  <c r="X62" i="10"/>
  <c r="AB66" i="10"/>
  <c r="AH66" i="10"/>
  <c r="Z66" i="10"/>
  <c r="AF66" i="10"/>
  <c r="Y66" i="10"/>
  <c r="AE66" i="10"/>
  <c r="X66" i="10"/>
  <c r="AC66" i="10"/>
  <c r="AB18" i="10"/>
  <c r="AH18" i="10"/>
  <c r="Z18" i="10"/>
  <c r="AF18" i="10"/>
  <c r="Y18" i="10"/>
  <c r="AE18" i="10"/>
  <c r="X18" i="10"/>
  <c r="AC18" i="10"/>
  <c r="AB17" i="10"/>
  <c r="AH17" i="10"/>
  <c r="Z17" i="10"/>
  <c r="AF17" i="10"/>
  <c r="Y17" i="10"/>
  <c r="AE17" i="10"/>
  <c r="X17" i="10"/>
  <c r="AC17" i="10"/>
  <c r="AB16" i="10"/>
  <c r="Z16" i="10"/>
  <c r="Y16" i="10"/>
  <c r="Y15" i="10"/>
  <c r="X16" i="10"/>
  <c r="D15" i="10"/>
  <c r="AB61" i="10"/>
  <c r="AH61" i="10"/>
  <c r="Z61" i="10"/>
  <c r="AF61" i="10"/>
  <c r="Y61" i="10"/>
  <c r="AE61" i="10"/>
  <c r="X61" i="10"/>
  <c r="AC61" i="10"/>
  <c r="AB60" i="10"/>
  <c r="AH60" i="10"/>
  <c r="Z60" i="10"/>
  <c r="AF60" i="10"/>
  <c r="Y60" i="10"/>
  <c r="AE60" i="10"/>
  <c r="X60" i="10"/>
  <c r="AC60" i="10"/>
  <c r="AB59" i="10"/>
  <c r="AH59" i="10"/>
  <c r="Z59" i="10"/>
  <c r="AF59" i="10"/>
  <c r="Y59" i="10"/>
  <c r="AE59" i="10"/>
  <c r="X59" i="10"/>
  <c r="AC59" i="10"/>
  <c r="AB58" i="10"/>
  <c r="Z58" i="10"/>
  <c r="Z57" i="10"/>
  <c r="Y58" i="10"/>
  <c r="X58" i="10"/>
  <c r="D57" i="10"/>
  <c r="AB47" i="10"/>
  <c r="AH47" i="10"/>
  <c r="Z47" i="10"/>
  <c r="AF47" i="10"/>
  <c r="Y47" i="10"/>
  <c r="AE47" i="10"/>
  <c r="X47" i="10"/>
  <c r="AC47" i="10"/>
  <c r="AB46" i="10"/>
  <c r="AH46" i="10"/>
  <c r="Z46" i="10"/>
  <c r="AF46" i="10"/>
  <c r="Y46" i="10"/>
  <c r="AE46" i="10"/>
  <c r="X46" i="10"/>
  <c r="AC46" i="10"/>
  <c r="AB45" i="10"/>
  <c r="AH45" i="10"/>
  <c r="Z45" i="10"/>
  <c r="AF45" i="10"/>
  <c r="X45" i="10"/>
  <c r="AC45" i="10"/>
  <c r="T45" i="10"/>
  <c r="Y45" i="10"/>
  <c r="AB44" i="10"/>
  <c r="Z44" i="10"/>
  <c r="Y44" i="10"/>
  <c r="X44" i="10"/>
  <c r="X43" i="10"/>
  <c r="D43" i="10"/>
  <c r="AB31" i="10"/>
  <c r="AH31" i="10"/>
  <c r="Z31" i="10"/>
  <c r="X31" i="10"/>
  <c r="AC31" i="10"/>
  <c r="AB30" i="10"/>
  <c r="AH30" i="10"/>
  <c r="Z30" i="10"/>
  <c r="AF30" i="10"/>
  <c r="Y30" i="10"/>
  <c r="AE30" i="10"/>
  <c r="X30" i="10"/>
  <c r="AC30" i="10"/>
  <c r="AB29" i="10"/>
  <c r="AH29" i="10"/>
  <c r="Z29" i="10"/>
  <c r="AF29" i="10"/>
  <c r="Y29" i="10"/>
  <c r="AE29" i="10"/>
  <c r="X29" i="10"/>
  <c r="AC29" i="10"/>
  <c r="AB28" i="10"/>
  <c r="AH28" i="10"/>
  <c r="Z28" i="10"/>
  <c r="AF28" i="10"/>
  <c r="Y28" i="10"/>
  <c r="AE28" i="10"/>
  <c r="X28" i="10"/>
  <c r="AC28" i="10"/>
  <c r="AB27" i="10"/>
  <c r="AH27" i="10"/>
  <c r="Z27" i="10"/>
  <c r="AF27" i="10"/>
  <c r="Y27" i="10"/>
  <c r="AE27" i="10"/>
  <c r="X27" i="10"/>
  <c r="AC27" i="10"/>
  <c r="AB26" i="10"/>
  <c r="AH26" i="10"/>
  <c r="Z26" i="10"/>
  <c r="AF26" i="10"/>
  <c r="Y26" i="10"/>
  <c r="AE26" i="10"/>
  <c r="X26" i="10"/>
  <c r="AC26" i="10"/>
  <c r="AB25" i="10"/>
  <c r="AH25" i="10"/>
  <c r="Z25" i="10"/>
  <c r="AF25" i="10"/>
  <c r="Y25" i="10"/>
  <c r="AE25" i="10"/>
  <c r="X25" i="10"/>
  <c r="AC25" i="10"/>
  <c r="AB24" i="10"/>
  <c r="Z24" i="10"/>
  <c r="Y24" i="10"/>
  <c r="X24" i="10"/>
  <c r="AB14" i="10"/>
  <c r="AH14" i="10"/>
  <c r="Z14" i="10"/>
  <c r="X14" i="10"/>
  <c r="AC14" i="10"/>
  <c r="AB13" i="10"/>
  <c r="AH13" i="10"/>
  <c r="Z13" i="10"/>
  <c r="AF13" i="10"/>
  <c r="Y13" i="10"/>
  <c r="AE13" i="10"/>
  <c r="X13" i="10"/>
  <c r="AC13" i="10"/>
  <c r="AB12" i="10"/>
  <c r="AH12" i="10"/>
  <c r="Z12" i="10"/>
  <c r="AF12" i="10"/>
  <c r="Y12" i="10"/>
  <c r="AE12" i="10"/>
  <c r="X12" i="10"/>
  <c r="AC12" i="10"/>
  <c r="AB11" i="10"/>
  <c r="AH11" i="10"/>
  <c r="Z11" i="10"/>
  <c r="AF11" i="10"/>
  <c r="Y11" i="10"/>
  <c r="AE11" i="10"/>
  <c r="X11" i="10"/>
  <c r="AC11" i="10"/>
  <c r="AB10" i="10"/>
  <c r="AH10" i="10"/>
  <c r="Z10" i="10"/>
  <c r="AF10" i="10"/>
  <c r="Y10" i="10"/>
  <c r="AE10" i="10"/>
  <c r="X10" i="10"/>
  <c r="AC10" i="10"/>
  <c r="AB9" i="10"/>
  <c r="AH9" i="10"/>
  <c r="Z9" i="10"/>
  <c r="AF9" i="10"/>
  <c r="Y9" i="10"/>
  <c r="AE9" i="10"/>
  <c r="X9" i="10"/>
  <c r="AC9" i="10"/>
  <c r="AB8" i="10"/>
  <c r="Z8" i="10"/>
  <c r="Y8" i="10"/>
  <c r="X8" i="10"/>
  <c r="D127" i="11"/>
  <c r="H43" i="11"/>
  <c r="M65" i="11"/>
  <c r="M24" i="11"/>
  <c r="H66" i="11"/>
  <c r="H61" i="11"/>
  <c r="H9" i="11"/>
  <c r="H18" i="11"/>
  <c r="M29" i="11"/>
  <c r="H23" i="11"/>
  <c r="H123" i="11"/>
  <c r="H46" i="11"/>
  <c r="M18" i="11"/>
  <c r="E127" i="11"/>
  <c r="H29" i="11"/>
  <c r="M62" i="11"/>
  <c r="J127" i="11"/>
  <c r="H77" i="11"/>
  <c r="H91" i="11"/>
  <c r="H39" i="11"/>
  <c r="H13" i="11"/>
  <c r="H25" i="11"/>
  <c r="H31" i="11"/>
  <c r="H63" i="11"/>
  <c r="H73" i="11"/>
  <c r="H44" i="11"/>
  <c r="H85" i="11"/>
  <c r="H97" i="11"/>
  <c r="I127" i="11"/>
  <c r="H117" i="11"/>
  <c r="H53" i="11"/>
  <c r="H103" i="11"/>
  <c r="M8" i="11"/>
  <c r="M13" i="11"/>
  <c r="H27" i="11"/>
  <c r="H16" i="11"/>
  <c r="H89" i="11"/>
  <c r="H99" i="11"/>
  <c r="H35" i="11"/>
  <c r="H57" i="11"/>
  <c r="H32" i="11"/>
  <c r="H11" i="11"/>
  <c r="H48" i="11"/>
  <c r="H81" i="11"/>
  <c r="F127" i="11"/>
  <c r="K127" i="11"/>
  <c r="H93" i="11"/>
  <c r="H107" i="11"/>
  <c r="H113" i="11"/>
  <c r="L4" i="12"/>
  <c r="AC24" i="10"/>
  <c r="AC23" i="10"/>
  <c r="X23" i="10"/>
  <c r="AF16" i="10"/>
  <c r="AF15" i="10"/>
  <c r="Z15" i="10"/>
  <c r="AF63" i="10"/>
  <c r="Z62" i="10"/>
  <c r="AE74" i="10"/>
  <c r="AE73" i="10"/>
  <c r="Y73" i="10"/>
  <c r="AF82" i="10"/>
  <c r="AF81" i="10"/>
  <c r="Z81" i="10"/>
  <c r="AF110" i="10"/>
  <c r="AF109" i="10"/>
  <c r="Z109" i="10"/>
  <c r="AC34" i="10"/>
  <c r="AC33" i="10"/>
  <c r="X33" i="10"/>
  <c r="AE24" i="10"/>
  <c r="AE23" i="10"/>
  <c r="Y23" i="10"/>
  <c r="AE44" i="10"/>
  <c r="Y43" i="10"/>
  <c r="AC58" i="10"/>
  <c r="AC57" i="10"/>
  <c r="X57" i="10"/>
  <c r="X67" i="10"/>
  <c r="AF74" i="10"/>
  <c r="Z73" i="10"/>
  <c r="AE20" i="10"/>
  <c r="AE19" i="10"/>
  <c r="Y19" i="10"/>
  <c r="AE34" i="10"/>
  <c r="AE33" i="10"/>
  <c r="Y33" i="10"/>
  <c r="AC49" i="10"/>
  <c r="AC48" i="10"/>
  <c r="X48" i="10"/>
  <c r="AE8" i="10"/>
  <c r="AE7" i="10"/>
  <c r="Y7" i="10"/>
  <c r="Z23" i="10"/>
  <c r="AF44" i="10"/>
  <c r="AF43" i="10"/>
  <c r="Z43" i="10"/>
  <c r="AE58" i="10"/>
  <c r="AE57" i="10"/>
  <c r="Y57" i="10"/>
  <c r="AC16" i="10"/>
  <c r="AC15" i="10"/>
  <c r="X15" i="10"/>
  <c r="AE68" i="10"/>
  <c r="Y67" i="10"/>
  <c r="AC82" i="10"/>
  <c r="AC81" i="10"/>
  <c r="X81" i="10"/>
  <c r="X109" i="10"/>
  <c r="AF20" i="10"/>
  <c r="AF19" i="10"/>
  <c r="Z19" i="10"/>
  <c r="AF34" i="10"/>
  <c r="AF33" i="10"/>
  <c r="Z33" i="10"/>
  <c r="AE49" i="10"/>
  <c r="AE48" i="10"/>
  <c r="Y48" i="10"/>
  <c r="R118" i="10"/>
  <c r="R123" i="10"/>
  <c r="R127" i="10"/>
  <c r="AF8" i="10"/>
  <c r="AF7" i="10"/>
  <c r="Z7" i="10"/>
  <c r="AE63" i="10"/>
  <c r="AE62" i="10"/>
  <c r="Y62" i="10"/>
  <c r="Z67" i="10"/>
  <c r="X73" i="10"/>
  <c r="AF78" i="10"/>
  <c r="AF77" i="10"/>
  <c r="Z77" i="10"/>
  <c r="AE82" i="10"/>
  <c r="AE110" i="10"/>
  <c r="AF49" i="10"/>
  <c r="Z48" i="10"/>
  <c r="AH24" i="10"/>
  <c r="AH23" i="10"/>
  <c r="AB23" i="10"/>
  <c r="AH44" i="10"/>
  <c r="AH43" i="10"/>
  <c r="AB43" i="10"/>
  <c r="AH34" i="10"/>
  <c r="AB33" i="10"/>
  <c r="AH8" i="10"/>
  <c r="AH7" i="10"/>
  <c r="AB7" i="10"/>
  <c r="AH58" i="10"/>
  <c r="AH57" i="10"/>
  <c r="AB57" i="10"/>
  <c r="AH78" i="10"/>
  <c r="AH77" i="10"/>
  <c r="AB77" i="10"/>
  <c r="AH49" i="10"/>
  <c r="AH48" i="10"/>
  <c r="AB48" i="10"/>
  <c r="AH16" i="10"/>
  <c r="AH15" i="10"/>
  <c r="AB15" i="10"/>
  <c r="AH63" i="10"/>
  <c r="AB62" i="10"/>
  <c r="AH82" i="10"/>
  <c r="AH81" i="10"/>
  <c r="AB81" i="10"/>
  <c r="AB109" i="10"/>
  <c r="AE67" i="10"/>
  <c r="AF73" i="10"/>
  <c r="D118" i="10"/>
  <c r="AH22" i="10"/>
  <c r="AH21" i="10"/>
  <c r="AE22" i="10"/>
  <c r="AF22" i="10"/>
  <c r="Y102" i="10"/>
  <c r="AE102" i="10"/>
  <c r="Y113" i="10"/>
  <c r="AE113" i="10"/>
  <c r="H71" i="10"/>
  <c r="H69" i="10"/>
  <c r="AH20" i="10"/>
  <c r="AH19" i="10"/>
  <c r="AF68" i="10"/>
  <c r="AF67" i="10"/>
  <c r="AE131" i="10"/>
  <c r="AE130" i="10"/>
  <c r="AB70" i="10"/>
  <c r="Y100" i="10"/>
  <c r="AE100" i="10"/>
  <c r="AE81" i="10"/>
  <c r="AE78" i="10"/>
  <c r="AE77" i="10"/>
  <c r="H75" i="10"/>
  <c r="AC78" i="10"/>
  <c r="AC77" i="10"/>
  <c r="AH72" i="10"/>
  <c r="L127" i="11"/>
  <c r="M33" i="11"/>
  <c r="M32" i="11"/>
  <c r="M57" i="11"/>
  <c r="M55" i="11"/>
  <c r="M53" i="11"/>
  <c r="M51" i="11"/>
  <c r="M43" i="11"/>
  <c r="M41" i="11"/>
  <c r="M39" i="11"/>
  <c r="M37" i="11"/>
  <c r="M35" i="11"/>
  <c r="M20" i="11"/>
  <c r="M117" i="11"/>
  <c r="M115" i="11"/>
  <c r="M113" i="11"/>
  <c r="M109" i="11"/>
  <c r="M107" i="11"/>
  <c r="M105" i="11"/>
  <c r="M103" i="11"/>
  <c r="M101" i="11"/>
  <c r="M99" i="11"/>
  <c r="M71" i="11"/>
  <c r="M74" i="11"/>
  <c r="M82" i="11"/>
  <c r="M87" i="11"/>
  <c r="M90" i="11"/>
  <c r="M95" i="11"/>
  <c r="M98" i="11"/>
  <c r="M102" i="11"/>
  <c r="M106" i="11"/>
  <c r="M110" i="11"/>
  <c r="M116" i="11"/>
  <c r="M38" i="11"/>
  <c r="M42" i="11"/>
  <c r="M52" i="11"/>
  <c r="M56" i="11"/>
  <c r="M22" i="11"/>
  <c r="M11" i="11"/>
  <c r="M14" i="11"/>
  <c r="M27" i="11"/>
  <c r="M30" i="11"/>
  <c r="M48" i="11"/>
  <c r="M60" i="11"/>
  <c r="M16" i="11"/>
  <c r="M68" i="11"/>
  <c r="M72" i="11"/>
  <c r="M77" i="11"/>
  <c r="M80" i="11"/>
  <c r="M85" i="11"/>
  <c r="M88" i="11"/>
  <c r="M93" i="11"/>
  <c r="M96" i="11"/>
  <c r="M9" i="11"/>
  <c r="M12" i="11"/>
  <c r="M25" i="11"/>
  <c r="M28" i="11"/>
  <c r="M46" i="11"/>
  <c r="M49" i="11"/>
  <c r="M63" i="11"/>
  <c r="M17" i="11"/>
  <c r="M66" i="11"/>
  <c r="M70" i="11"/>
  <c r="M78" i="11"/>
  <c r="M44" i="11"/>
  <c r="M86" i="11"/>
  <c r="M91" i="11"/>
  <c r="M94" i="11"/>
  <c r="M100" i="11"/>
  <c r="M104" i="11"/>
  <c r="M108" i="11"/>
  <c r="M114" i="11"/>
  <c r="M36" i="11"/>
  <c r="M40" i="11"/>
  <c r="M54" i="11"/>
  <c r="M58" i="11"/>
  <c r="M111" i="11"/>
  <c r="M10" i="11"/>
  <c r="M26" i="11"/>
  <c r="M31" i="11"/>
  <c r="M47" i="11"/>
  <c r="M61" i="11"/>
  <c r="M67" i="11"/>
  <c r="G127" i="11"/>
  <c r="H111" i="11"/>
  <c r="H22" i="11"/>
  <c r="H58" i="11"/>
  <c r="H56" i="11"/>
  <c r="H54" i="11"/>
  <c r="H52" i="11"/>
  <c r="H42" i="11"/>
  <c r="H40" i="11"/>
  <c r="H38" i="11"/>
  <c r="H36" i="11"/>
  <c r="H116" i="11"/>
  <c r="H114" i="11"/>
  <c r="H110" i="11"/>
  <c r="H108" i="11"/>
  <c r="H106" i="11"/>
  <c r="H104" i="11"/>
  <c r="H102" i="11"/>
  <c r="H100" i="11"/>
  <c r="H98" i="11"/>
  <c r="H96" i="11"/>
  <c r="H94" i="11"/>
  <c r="H92" i="11"/>
  <c r="H90" i="11"/>
  <c r="H88" i="11"/>
  <c r="H86" i="11"/>
  <c r="H84" i="11"/>
  <c r="H82" i="11"/>
  <c r="H80" i="11"/>
  <c r="H78" i="11"/>
  <c r="H76" i="11"/>
  <c r="H74" i="11"/>
  <c r="H72" i="11"/>
  <c r="H70" i="11"/>
  <c r="H67" i="11"/>
  <c r="H65" i="11"/>
  <c r="H68" i="11"/>
  <c r="H17" i="11"/>
  <c r="H62" i="11"/>
  <c r="H60" i="11"/>
  <c r="H49" i="11"/>
  <c r="H47" i="11"/>
  <c r="H30" i="11"/>
  <c r="H28" i="11"/>
  <c r="H26" i="11"/>
  <c r="H24" i="11"/>
  <c r="H14" i="11"/>
  <c r="H12" i="11"/>
  <c r="H10" i="11"/>
  <c r="H8" i="11"/>
  <c r="H71" i="11"/>
  <c r="M73" i="11"/>
  <c r="M76" i="11"/>
  <c r="M81" i="11"/>
  <c r="M84" i="11"/>
  <c r="H87" i="11"/>
  <c r="M89" i="11"/>
  <c r="M92" i="11"/>
  <c r="H95" i="11"/>
  <c r="M97" i="11"/>
  <c r="H101" i="11"/>
  <c r="H105" i="11"/>
  <c r="H109" i="11"/>
  <c r="H115" i="11"/>
  <c r="H20" i="11"/>
  <c r="H37" i="11"/>
  <c r="H41" i="11"/>
  <c r="H51" i="11"/>
  <c r="H55" i="11"/>
  <c r="H33" i="11"/>
  <c r="AC63" i="10"/>
  <c r="AC62" i="10"/>
  <c r="AF64" i="10"/>
  <c r="AF62" i="10"/>
  <c r="AE45" i="10"/>
  <c r="AH64" i="10"/>
  <c r="AH35" i="10"/>
  <c r="AC74" i="10"/>
  <c r="AC73" i="10"/>
  <c r="H76" i="10"/>
  <c r="AB71" i="10"/>
  <c r="H68" i="10"/>
  <c r="H70" i="10"/>
  <c r="AC8" i="10"/>
  <c r="AF24" i="10"/>
  <c r="AF23" i="10"/>
  <c r="AC44" i="10"/>
  <c r="AC43" i="10"/>
  <c r="AF58" i="10"/>
  <c r="AF57" i="10"/>
  <c r="AE16" i="10"/>
  <c r="AE15" i="10"/>
  <c r="AC68" i="10"/>
  <c r="AC67" i="10"/>
  <c r="AF50" i="10"/>
  <c r="AF48" i="10"/>
  <c r="AB75" i="10"/>
  <c r="AH110" i="10"/>
  <c r="AH109" i="10"/>
  <c r="AC22" i="10"/>
  <c r="AE75" i="10"/>
  <c r="AC110" i="10"/>
  <c r="AC109" i="10"/>
  <c r="AF125" i="10"/>
  <c r="AB125" i="10"/>
  <c r="M123" i="11"/>
  <c r="AC118" i="10"/>
  <c r="AH33" i="10"/>
  <c r="Y81" i="10"/>
  <c r="Z118" i="10"/>
  <c r="X118" i="10"/>
  <c r="AE43" i="10"/>
  <c r="AE109" i="10"/>
  <c r="AE118" i="10"/>
  <c r="Y109" i="10"/>
  <c r="H73" i="10"/>
  <c r="AH62" i="10"/>
  <c r="AF118" i="10"/>
  <c r="H67" i="10"/>
  <c r="AB74" i="10"/>
  <c r="AB73" i="10"/>
  <c r="AB68" i="10"/>
  <c r="AH71" i="10"/>
  <c r="AH76" i="10"/>
  <c r="AH70" i="10"/>
  <c r="AH75" i="10"/>
  <c r="AB69" i="10"/>
  <c r="AH125" i="10"/>
  <c r="H118" i="10"/>
  <c r="Y118" i="10"/>
  <c r="AH74" i="10"/>
  <c r="AH73" i="10"/>
  <c r="AB67" i="10"/>
  <c r="AB118" i="10"/>
  <c r="AH68" i="10"/>
  <c r="AH69" i="10"/>
  <c r="AH67" i="10"/>
  <c r="AH118" i="10"/>
  <c r="Q129" i="1"/>
  <c r="P129" i="1"/>
  <c r="O17" i="1"/>
  <c r="O93" i="1"/>
  <c r="O127" i="1"/>
  <c r="O129" i="1"/>
  <c r="E129" i="1"/>
  <c r="D129" i="1"/>
  <c r="C129" i="1"/>
  <c r="Y127" i="1"/>
  <c r="X127" i="1"/>
  <c r="W127" i="1"/>
  <c r="V127" i="1"/>
  <c r="U127" i="1"/>
  <c r="T127" i="1"/>
  <c r="S127" i="1"/>
  <c r="R127" i="1"/>
  <c r="Q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V125" i="1"/>
  <c r="U125" i="1"/>
  <c r="O125" i="1"/>
  <c r="J125" i="1"/>
  <c r="I125" i="1"/>
  <c r="C125" i="1"/>
  <c r="V117" i="1"/>
  <c r="U117" i="1"/>
  <c r="O117" i="1"/>
  <c r="J117" i="1"/>
  <c r="I117" i="1"/>
  <c r="C117" i="1"/>
  <c r="V112" i="1"/>
  <c r="U112" i="1"/>
  <c r="O112" i="1"/>
  <c r="J112" i="1"/>
  <c r="I112" i="1"/>
  <c r="C112" i="1"/>
  <c r="V100" i="1"/>
  <c r="U100" i="1"/>
  <c r="O100" i="1"/>
  <c r="J100" i="1"/>
  <c r="I100" i="1"/>
  <c r="C100" i="1"/>
  <c r="Y93" i="1"/>
  <c r="X93" i="1"/>
  <c r="W93" i="1"/>
  <c r="V93" i="1"/>
  <c r="U93" i="1"/>
  <c r="T93" i="1"/>
  <c r="S93" i="1"/>
  <c r="R93" i="1"/>
  <c r="Q93" i="1"/>
  <c r="P93" i="1"/>
  <c r="M93" i="1"/>
  <c r="L93" i="1"/>
  <c r="K93" i="1"/>
  <c r="J93" i="1"/>
  <c r="I93" i="1"/>
  <c r="H93" i="1"/>
  <c r="G93" i="1"/>
  <c r="F93" i="1"/>
  <c r="E93" i="1"/>
  <c r="D93" i="1"/>
  <c r="C93" i="1"/>
  <c r="Y88" i="1"/>
  <c r="X88" i="1"/>
  <c r="W88" i="1"/>
  <c r="V88" i="1"/>
  <c r="U88" i="1"/>
  <c r="T88" i="1"/>
  <c r="S88" i="1"/>
  <c r="R88" i="1"/>
  <c r="Q88" i="1"/>
  <c r="P88" i="1"/>
  <c r="O88" i="1"/>
  <c r="M88" i="1"/>
  <c r="L88" i="1"/>
  <c r="K88" i="1"/>
  <c r="J88" i="1"/>
  <c r="I88" i="1"/>
  <c r="H88" i="1"/>
  <c r="G88" i="1"/>
  <c r="F88" i="1"/>
  <c r="E88" i="1"/>
  <c r="D88" i="1"/>
  <c r="C88" i="1"/>
  <c r="X87" i="1"/>
  <c r="L87" i="1"/>
  <c r="Y86" i="1"/>
  <c r="X86" i="1"/>
  <c r="M86" i="1"/>
  <c r="L86" i="1"/>
  <c r="Y85" i="1"/>
  <c r="X85" i="1"/>
  <c r="M85" i="1"/>
  <c r="L85" i="1"/>
  <c r="Y84" i="1"/>
  <c r="X84" i="1"/>
  <c r="M84" i="1"/>
  <c r="L84" i="1"/>
  <c r="Y83" i="1"/>
  <c r="X83" i="1"/>
  <c r="M83" i="1"/>
  <c r="L83" i="1"/>
  <c r="Y82" i="1"/>
  <c r="X82" i="1"/>
  <c r="M82" i="1"/>
  <c r="L82" i="1"/>
  <c r="Y81" i="1"/>
  <c r="X81" i="1"/>
  <c r="M81" i="1"/>
  <c r="L81" i="1"/>
  <c r="Y80" i="1"/>
  <c r="X80" i="1"/>
  <c r="M80" i="1"/>
  <c r="L80" i="1"/>
  <c r="Y79" i="1"/>
  <c r="X79" i="1"/>
  <c r="M79" i="1"/>
  <c r="L79" i="1"/>
  <c r="Y78" i="1"/>
  <c r="X78" i="1"/>
  <c r="M78" i="1"/>
  <c r="L78" i="1"/>
  <c r="Y77" i="1"/>
  <c r="X77" i="1"/>
  <c r="M77" i="1"/>
  <c r="L77" i="1"/>
  <c r="Y75" i="1"/>
  <c r="X75" i="1"/>
  <c r="M75" i="1"/>
  <c r="L75" i="1"/>
  <c r="Y74" i="1"/>
  <c r="X74" i="1"/>
  <c r="M74" i="1"/>
  <c r="L74" i="1"/>
  <c r="X73" i="1"/>
  <c r="L73" i="1"/>
  <c r="Y72" i="1"/>
  <c r="X72" i="1"/>
  <c r="M72" i="1"/>
  <c r="L72" i="1"/>
  <c r="Y71" i="1"/>
  <c r="X71" i="1"/>
  <c r="M71" i="1"/>
  <c r="L71" i="1"/>
  <c r="Y70" i="1"/>
  <c r="X70" i="1"/>
  <c r="M70" i="1"/>
  <c r="L70" i="1"/>
  <c r="X69" i="1"/>
  <c r="L69" i="1"/>
  <c r="X68" i="1"/>
  <c r="L68" i="1"/>
  <c r="X67" i="1"/>
  <c r="L67" i="1"/>
  <c r="Y66" i="1"/>
  <c r="X66" i="1"/>
  <c r="M66" i="1"/>
  <c r="L66" i="1"/>
  <c r="Y65" i="1"/>
  <c r="X65" i="1"/>
  <c r="M65" i="1"/>
  <c r="L65" i="1"/>
  <c r="Y64" i="1"/>
  <c r="X64" i="1"/>
  <c r="M64" i="1"/>
  <c r="L64" i="1"/>
  <c r="Y62" i="1"/>
  <c r="X62" i="1"/>
  <c r="M62" i="1"/>
  <c r="L62" i="1"/>
  <c r="Y61" i="1"/>
  <c r="X61" i="1"/>
  <c r="M61" i="1"/>
  <c r="L61" i="1"/>
  <c r="Y60" i="1"/>
  <c r="X60" i="1"/>
  <c r="M60" i="1"/>
  <c r="L60" i="1"/>
  <c r="Y58" i="1"/>
  <c r="X58" i="1"/>
  <c r="M58" i="1"/>
  <c r="L58" i="1"/>
  <c r="Y55" i="1"/>
  <c r="X55" i="1"/>
  <c r="W55" i="1"/>
  <c r="V55" i="1"/>
  <c r="U55" i="1"/>
  <c r="T55" i="1"/>
  <c r="S55" i="1"/>
  <c r="R55" i="1"/>
  <c r="Q55" i="1"/>
  <c r="P55" i="1"/>
  <c r="O55" i="1"/>
  <c r="M55" i="1"/>
  <c r="L55" i="1"/>
  <c r="K55" i="1"/>
  <c r="J55" i="1"/>
  <c r="I55" i="1"/>
  <c r="H55" i="1"/>
  <c r="G55" i="1"/>
  <c r="F55" i="1"/>
  <c r="E55" i="1"/>
  <c r="D55" i="1"/>
  <c r="C55" i="1"/>
  <c r="Y54" i="1"/>
  <c r="X54" i="1"/>
  <c r="W54" i="1"/>
  <c r="V54" i="1"/>
  <c r="U54" i="1"/>
  <c r="T54" i="1"/>
  <c r="S54" i="1"/>
  <c r="R54" i="1"/>
  <c r="Q54" i="1"/>
  <c r="P54" i="1"/>
  <c r="O54" i="1"/>
  <c r="M54" i="1"/>
  <c r="L54" i="1"/>
  <c r="K54" i="1"/>
  <c r="J54" i="1"/>
  <c r="I54" i="1"/>
  <c r="H54" i="1"/>
  <c r="G54" i="1"/>
  <c r="F54" i="1"/>
  <c r="E54" i="1"/>
  <c r="D54" i="1"/>
  <c r="C54" i="1"/>
  <c r="Y52" i="1"/>
  <c r="X52" i="1"/>
  <c r="W52" i="1"/>
  <c r="V52" i="1"/>
  <c r="U52" i="1"/>
  <c r="T52" i="1"/>
  <c r="S52" i="1"/>
  <c r="R52" i="1"/>
  <c r="Q52" i="1"/>
  <c r="P52" i="1"/>
  <c r="O52" i="1"/>
  <c r="M52" i="1"/>
  <c r="L52" i="1"/>
  <c r="K52" i="1"/>
  <c r="J52" i="1"/>
  <c r="I52" i="1"/>
  <c r="H52" i="1"/>
  <c r="G52" i="1"/>
  <c r="F52" i="1"/>
  <c r="E52" i="1"/>
  <c r="D52" i="1"/>
  <c r="C52" i="1"/>
  <c r="Y51" i="1"/>
  <c r="X51" i="1"/>
  <c r="M51" i="1"/>
  <c r="L51" i="1"/>
  <c r="Y50" i="1"/>
  <c r="X50" i="1"/>
  <c r="M50" i="1"/>
  <c r="L50" i="1"/>
  <c r="Y49" i="1"/>
  <c r="X49" i="1"/>
  <c r="M49" i="1"/>
  <c r="L49" i="1"/>
  <c r="Y48" i="1"/>
  <c r="X48" i="1"/>
  <c r="M48" i="1"/>
  <c r="L48" i="1"/>
  <c r="Y47" i="1"/>
  <c r="X47" i="1"/>
  <c r="M47" i="1"/>
  <c r="L47" i="1"/>
  <c r="Y44" i="1"/>
  <c r="X44" i="1"/>
  <c r="M44" i="1"/>
  <c r="L44" i="1"/>
  <c r="Y43" i="1"/>
  <c r="X43" i="1"/>
  <c r="M43" i="1"/>
  <c r="L43" i="1"/>
  <c r="Y42" i="1"/>
  <c r="X42" i="1"/>
  <c r="M42" i="1"/>
  <c r="L42" i="1"/>
  <c r="Y41" i="1"/>
  <c r="X41" i="1"/>
  <c r="M41" i="1"/>
  <c r="L41" i="1"/>
  <c r="Y40" i="1"/>
  <c r="X40" i="1"/>
  <c r="M40" i="1"/>
  <c r="L40" i="1"/>
  <c r="Y39" i="1"/>
  <c r="X39" i="1"/>
  <c r="M39" i="1"/>
  <c r="L39" i="1"/>
  <c r="Y38" i="1"/>
  <c r="X38" i="1"/>
  <c r="M38" i="1"/>
  <c r="L38" i="1"/>
  <c r="Y37" i="1"/>
  <c r="X37" i="1"/>
  <c r="M37" i="1"/>
  <c r="L37" i="1"/>
  <c r="Y36" i="1"/>
  <c r="X36" i="1"/>
  <c r="M36" i="1"/>
  <c r="L36" i="1"/>
  <c r="Y32" i="1"/>
  <c r="X32" i="1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H32" i="1"/>
  <c r="G32" i="1"/>
  <c r="F32" i="1"/>
  <c r="E32" i="1"/>
  <c r="D32" i="1"/>
  <c r="C32" i="1"/>
  <c r="Y31" i="1"/>
  <c r="X31" i="1"/>
  <c r="M31" i="1"/>
  <c r="L31" i="1"/>
  <c r="Y30" i="1"/>
  <c r="X30" i="1"/>
  <c r="M30" i="1"/>
  <c r="L30" i="1"/>
  <c r="Y29" i="1"/>
  <c r="X29" i="1"/>
  <c r="M29" i="1"/>
  <c r="L29" i="1"/>
  <c r="Y28" i="1"/>
  <c r="X28" i="1"/>
  <c r="M28" i="1"/>
  <c r="L28" i="1"/>
  <c r="Y27" i="1"/>
  <c r="X27" i="1"/>
  <c r="M27" i="1"/>
  <c r="L27" i="1"/>
  <c r="Y26" i="1"/>
  <c r="X26" i="1"/>
  <c r="M26" i="1"/>
  <c r="L26" i="1"/>
  <c r="Y25" i="1"/>
  <c r="X25" i="1"/>
  <c r="M25" i="1"/>
  <c r="L25" i="1"/>
  <c r="Y24" i="1"/>
  <c r="X24" i="1"/>
  <c r="M24" i="1"/>
  <c r="L24" i="1"/>
  <c r="Y21" i="1"/>
  <c r="M21" i="1"/>
  <c r="Y20" i="1"/>
  <c r="X20" i="1"/>
  <c r="M20" i="1"/>
  <c r="L20" i="1"/>
  <c r="Y17" i="1"/>
  <c r="X17" i="1"/>
  <c r="W17" i="1"/>
  <c r="V17" i="1"/>
  <c r="U17" i="1"/>
  <c r="T17" i="1"/>
  <c r="S17" i="1"/>
  <c r="R17" i="1"/>
  <c r="Q17" i="1"/>
  <c r="P17" i="1"/>
  <c r="M17" i="1"/>
  <c r="L17" i="1"/>
  <c r="K17" i="1"/>
  <c r="J17" i="1"/>
  <c r="I17" i="1"/>
  <c r="H17" i="1"/>
  <c r="G17" i="1"/>
  <c r="F17" i="1"/>
  <c r="E17" i="1"/>
  <c r="D17" i="1"/>
  <c r="C17" i="1"/>
  <c r="Y16" i="1"/>
  <c r="X16" i="1"/>
  <c r="M16" i="1"/>
  <c r="L16" i="1"/>
  <c r="Y14" i="1"/>
  <c r="X14" i="1"/>
  <c r="M14" i="1"/>
  <c r="L14" i="1"/>
  <c r="Y13" i="1"/>
  <c r="M13" i="1"/>
  <c r="Y11" i="1"/>
  <c r="X11" i="1"/>
  <c r="M11" i="1"/>
  <c r="L11" i="1"/>
  <c r="Y10" i="1"/>
  <c r="X10" i="1"/>
  <c r="M10" i="1"/>
  <c r="L10" i="1"/>
  <c r="Y9" i="1"/>
  <c r="X9" i="1"/>
  <c r="M9" i="1"/>
  <c r="L9" i="1"/>
  <c r="Y8" i="1"/>
  <c r="X8" i="1"/>
  <c r="M8" i="1"/>
  <c r="L8" i="1"/>
  <c r="Y7" i="1"/>
  <c r="X7" i="1"/>
  <c r="M7" i="1"/>
  <c r="L7" i="1"/>
  <c r="F123" i="10"/>
  <c r="F127" i="10"/>
  <c r="K123" i="10"/>
  <c r="K127" i="10"/>
  <c r="S123" i="10"/>
  <c r="S127" i="10"/>
  <c r="X123" i="10"/>
  <c r="X127" i="10"/>
  <c r="Z123" i="10"/>
  <c r="Z127" i="10"/>
  <c r="P123" i="10"/>
  <c r="P127" i="10"/>
  <c r="I123" i="10"/>
  <c r="I127" i="10"/>
  <c r="E123" i="10"/>
  <c r="E127" i="10"/>
  <c r="U123" i="10"/>
  <c r="U127" i="10"/>
  <c r="AC123" i="10"/>
  <c r="AC127" i="10"/>
  <c r="D123" i="10"/>
  <c r="D127" i="10"/>
  <c r="Y123" i="10"/>
  <c r="Y127" i="10"/>
  <c r="AB123" i="10"/>
  <c r="AB127" i="10"/>
  <c r="AE123" i="10"/>
  <c r="AE127" i="10"/>
  <c r="J123" i="10"/>
  <c r="J127" i="10"/>
  <c r="O123" i="10"/>
  <c r="O127" i="10"/>
  <c r="AH123" i="10"/>
  <c r="AH127" i="10"/>
  <c r="W123" i="10"/>
  <c r="W127" i="10"/>
  <c r="H123" i="10"/>
  <c r="H127" i="10"/>
  <c r="AF123" i="10"/>
  <c r="AF127" i="10"/>
  <c r="AD123" i="10"/>
  <c r="AD127" i="10"/>
  <c r="N123" i="10"/>
  <c r="N127" i="10"/>
  <c r="T123" i="10"/>
  <c r="T127" i="10"/>
  <c r="N6" i="12"/>
  <c r="N5" i="12"/>
  <c r="H63" i="12"/>
  <c r="H64" i="12"/>
  <c r="H62" i="12"/>
  <c r="L62" i="12"/>
  <c r="H65" i="12"/>
  <c r="L65" i="12"/>
  <c r="H67" i="12"/>
  <c r="H68" i="12"/>
  <c r="H66" i="12"/>
  <c r="L66" i="12"/>
  <c r="H69" i="12"/>
  <c r="L69" i="12"/>
  <c r="L61" i="12"/>
  <c r="M70" i="12"/>
  <c r="M71" i="12"/>
  <c r="M62" i="12"/>
  <c r="M65" i="12"/>
  <c r="M66" i="12"/>
  <c r="M69" i="12"/>
  <c r="M61" i="12"/>
  <c r="N70" i="12"/>
  <c r="H61" i="12"/>
  <c r="P61" i="12"/>
  <c r="P62" i="12"/>
  <c r="P65" i="12"/>
</calcChain>
</file>

<file path=xl/sharedStrings.xml><?xml version="1.0" encoding="utf-8"?>
<sst xmlns="http://schemas.openxmlformats.org/spreadsheetml/2006/main" count="3247" uniqueCount="611">
  <si>
    <t>Residential Portfolio</t>
  </si>
  <si>
    <t>Energy Advisor Program</t>
  </si>
  <si>
    <t>Multifamily Energy Efficiency Rebate Program</t>
  </si>
  <si>
    <t>Plug Load and Appliances Program</t>
  </si>
  <si>
    <t>Comprehensive Manufactured Homes</t>
  </si>
  <si>
    <t>Primary Lighting Program</t>
  </si>
  <si>
    <t>WE&amp;T Connections</t>
  </si>
  <si>
    <t>Residential New Construction Program</t>
  </si>
  <si>
    <t>Energy Upgrade California</t>
  </si>
  <si>
    <t>Residential HVAC Program</t>
  </si>
  <si>
    <t>Residential Portfolio Total</t>
  </si>
  <si>
    <t>Business Portfolio</t>
  </si>
  <si>
    <t>Nonresidential HVAC Program</t>
  </si>
  <si>
    <t>Business Portfolio - Core</t>
  </si>
  <si>
    <t>Savings by Design</t>
  </si>
  <si>
    <t>Commercial Deemed Incentives Program</t>
  </si>
  <si>
    <t>Industrial Calculated Energy Efficiency Program</t>
  </si>
  <si>
    <t>Industrial Deemed Energy Efficiency Program</t>
  </si>
  <si>
    <t>Agriculture Calculated Energy Efficiency Program</t>
  </si>
  <si>
    <t>Agriculture Deemed Energy Efficiency Program</t>
  </si>
  <si>
    <t>Midstream Point of Purchase</t>
  </si>
  <si>
    <t>Business Portfolio - Core Total</t>
  </si>
  <si>
    <t>Business Portfolio - Third Party</t>
  </si>
  <si>
    <t>Cool Planet</t>
  </si>
  <si>
    <t>Healthcare EE Program</t>
  </si>
  <si>
    <t>Data Center Energy Efficiency</t>
  </si>
  <si>
    <t>Lodging EE Program</t>
  </si>
  <si>
    <t>Food &amp; Kindred Products</t>
  </si>
  <si>
    <t>Primary and Fabricated Metals</t>
  </si>
  <si>
    <t>Nonmetallic Minerals and Products</t>
  </si>
  <si>
    <t>Comprehensive Chemical Products</t>
  </si>
  <si>
    <t>Comprehensive Petroleum Refining</t>
  </si>
  <si>
    <t>Oil Production</t>
  </si>
  <si>
    <t>Cool Schools</t>
  </si>
  <si>
    <t>Commercial Utility Building Efficiency</t>
  </si>
  <si>
    <t>School Energy Efficiency Program</t>
  </si>
  <si>
    <t>Enhanced Retrocommissioning</t>
  </si>
  <si>
    <t>Commercial Direct Install Program</t>
  </si>
  <si>
    <t>Business Portfolio - Third Party Total</t>
  </si>
  <si>
    <t>Business Portfolio Total</t>
  </si>
  <si>
    <t>Partnership Portfolio</t>
  </si>
  <si>
    <t>Energy Leader Partnership Future Affinity + IGREEN + Federals</t>
  </si>
  <si>
    <t>City of Beaumont Energy Leader Partnership</t>
  </si>
  <si>
    <t>City of Long Beach Energy Leader Partnership</t>
  </si>
  <si>
    <t>City of Redlands Energy Leader Partnership</t>
  </si>
  <si>
    <t>City of Santa Ana Energy Leader Partnership</t>
  </si>
  <si>
    <t>City of Simi Valley Energy Leader Partnership</t>
  </si>
  <si>
    <t>Gateway Cities Energy Leader Partnership</t>
  </si>
  <si>
    <t>Community Energy Leader Partnership</t>
  </si>
  <si>
    <t>Eastern Sierra Energy Leader Partnership</t>
  </si>
  <si>
    <t>Desert Cities Energy Leader Partnership</t>
  </si>
  <si>
    <t>Kern County Energy Leader Partnership</t>
  </si>
  <si>
    <t>Orange County Cities Energy Leader Partnership</t>
  </si>
  <si>
    <t>San Gabriel Valley Energy Leader Partnership</t>
  </si>
  <si>
    <t>San Joaquin Valley Energy Leader Partnership</t>
  </si>
  <si>
    <t>South Bay Energy Leader Partnership</t>
  </si>
  <si>
    <t>South Santa Barbara County Energy Leader Partnership</t>
  </si>
  <si>
    <t>Ventura County Energy Leader Partnership</t>
  </si>
  <si>
    <t>Western Riverside Energy Leader Partnership</t>
  </si>
  <si>
    <t>City of Adelanto Energy Leader Partnership</t>
  </si>
  <si>
    <t>West Side Energy Leader Partnership</t>
  </si>
  <si>
    <t>California Community Colleges Energy Efficiency Partnership</t>
  </si>
  <si>
    <t>California Dept. of Corrections and Rehabilitation EE Partnership</t>
  </si>
  <si>
    <t>County of Los Angeles Energy Efficiency Partnership</t>
  </si>
  <si>
    <t>County of Riverside Energy Efficiency Partnership</t>
  </si>
  <si>
    <t>County of San Bernardino Energy Efficiency Partnership</t>
  </si>
  <si>
    <t>State of California Energy Efficiency Partnership</t>
  </si>
  <si>
    <t>San Bernardino Association of Governments</t>
  </si>
  <si>
    <t>Partnership Portfolio Total</t>
  </si>
  <si>
    <t>Codes and Standards</t>
  </si>
  <si>
    <t>Residential Portfolio (Non-Resource)</t>
  </si>
  <si>
    <t>Lighting Market Transformation Program</t>
  </si>
  <si>
    <t>WE&amp;T Centergies</t>
  </si>
  <si>
    <t>WE&amp;T Planning</t>
  </si>
  <si>
    <t>Residential Portfolio (Non-Resource) Total</t>
  </si>
  <si>
    <t>Business Portfolio (Non-Resource)</t>
  </si>
  <si>
    <t>Commercial Energy Advisor Program</t>
  </si>
  <si>
    <t>Commercial Continuous Energy Improvement</t>
  </si>
  <si>
    <t>Industrial Energy Advisor Program</t>
  </si>
  <si>
    <t>Industrial Continuous Energy Improvement Program</t>
  </si>
  <si>
    <t>Agriculture Energy Advisor Program</t>
  </si>
  <si>
    <t>Agriculture Continuous Energy Improvement Program</t>
  </si>
  <si>
    <t>On-Bill Financing</t>
  </si>
  <si>
    <t>ARRA-Originated Financing</t>
  </si>
  <si>
    <t>Integrated Demand Side Management Pilot for Food Processing</t>
  </si>
  <si>
    <t>Business Portfolio (Non-Resource) Total</t>
  </si>
  <si>
    <t>Partnership Portfolio (Non-Resource)</t>
  </si>
  <si>
    <t>Sustainable Communities</t>
  </si>
  <si>
    <t>Energy Leader Partnership Strategic Support (ICLEI)</t>
  </si>
  <si>
    <t>Local Government Strategic Planning Pilot Program</t>
  </si>
  <si>
    <t>Partnership Portfolio (Non-Resource) Total</t>
  </si>
  <si>
    <t>Other (Non-Resource)</t>
  </si>
  <si>
    <t>Emerging Technologies Program</t>
  </si>
  <si>
    <t>Integrated Demand Side Management Program</t>
  </si>
  <si>
    <t>EM&amp;V SCE</t>
  </si>
  <si>
    <t>EM&amp;V CPUC</t>
  </si>
  <si>
    <t>Regional Energy Network Pilot (REN)</t>
  </si>
  <si>
    <t>Other (Non-Resource) Total</t>
  </si>
  <si>
    <t>kWh</t>
  </si>
  <si>
    <t>kW</t>
  </si>
  <si>
    <r>
      <t xml:space="preserve">SCE Total (Resource and Non-Resource) </t>
    </r>
    <r>
      <rPr>
        <b/>
        <vertAlign val="superscript"/>
        <sz val="18"/>
        <color theme="0"/>
        <rFont val="Arial"/>
        <family val="2"/>
      </rPr>
      <t>(1)</t>
    </r>
  </si>
  <si>
    <r>
      <t xml:space="preserve">SCE Total (Resource Only) </t>
    </r>
    <r>
      <rPr>
        <b/>
        <vertAlign val="superscript"/>
        <sz val="18"/>
        <color indexed="8"/>
        <rFont val="Arial"/>
        <family val="2"/>
      </rPr>
      <t>(1)</t>
    </r>
  </si>
  <si>
    <r>
      <t>Energy Savings Assistance Program</t>
    </r>
    <r>
      <rPr>
        <b/>
        <vertAlign val="superscript"/>
        <sz val="18"/>
        <rFont val="Arial"/>
        <family val="2"/>
      </rPr>
      <t xml:space="preserve"> </t>
    </r>
  </si>
  <si>
    <t>Program ID</t>
  </si>
  <si>
    <t>SCE-17-SW-001A</t>
  </si>
  <si>
    <t>SCE-17-SW-001C</t>
  </si>
  <si>
    <t>SCE-17-SW-001B</t>
  </si>
  <si>
    <t>SCE-17-TP-001</t>
  </si>
  <si>
    <t>SCE-17-SW-005C</t>
  </si>
  <si>
    <t>SCE-17-SW-010B</t>
  </si>
  <si>
    <t>SCE-17-SW-001F</t>
  </si>
  <si>
    <t>SCE-17-SW-001D</t>
  </si>
  <si>
    <t>SCE-17-SW-001E</t>
  </si>
  <si>
    <t>SCE-17-SW-002F</t>
  </si>
  <si>
    <t>SCE-17-SW-002B</t>
  </si>
  <si>
    <t>SCE-17-SW-002G</t>
  </si>
  <si>
    <t>SCE-17-SW-002C</t>
  </si>
  <si>
    <t>SCE-17-SW-003B</t>
  </si>
  <si>
    <t>SCE-17-SW-003C</t>
  </si>
  <si>
    <t>SCE-17-SW-004B</t>
  </si>
  <si>
    <t>SCE-17-SW-004C</t>
  </si>
  <si>
    <t>SCE-17-SW-005B</t>
  </si>
  <si>
    <t>SCE-17-TP-003</t>
  </si>
  <si>
    <t>SCE-17-TP-004</t>
  </si>
  <si>
    <t>SCE-17-TP-005</t>
  </si>
  <si>
    <t>SCE-17-TP-006</t>
  </si>
  <si>
    <t>SCE-17-TP-007</t>
  </si>
  <si>
    <t>SCE-17-TP-008</t>
  </si>
  <si>
    <t>SCE-17-TP-009</t>
  </si>
  <si>
    <t>SCE-17-TP-010</t>
  </si>
  <si>
    <t>SCE-17-TP-011</t>
  </si>
  <si>
    <t>SCE-17-TP-013</t>
  </si>
  <si>
    <t>SCE-17-TP-014</t>
  </si>
  <si>
    <t>SCE-17-TP-018</t>
  </si>
  <si>
    <t>SCE-17-TP-021</t>
  </si>
  <si>
    <t>SCE-17-TP-020</t>
  </si>
  <si>
    <t>SCE-17-SW-002D</t>
  </si>
  <si>
    <t>SCE-17-L-002B</t>
  </si>
  <si>
    <t>SCE-17-L-002C</t>
  </si>
  <si>
    <t>SCE-17-L-002D</t>
  </si>
  <si>
    <t>SCE-17-L-002F</t>
  </si>
  <si>
    <t>SCE-17-L-002G</t>
  </si>
  <si>
    <t>SCE-17-L-002H</t>
  </si>
  <si>
    <t>SCE-17-L-002J</t>
  </si>
  <si>
    <t>SCE-17-L-002K</t>
  </si>
  <si>
    <t>SCE-17-L-002L</t>
  </si>
  <si>
    <t>SCE-17-L-002M</t>
  </si>
  <si>
    <t>SCE-17-L-002N</t>
  </si>
  <si>
    <t>SCE-17-L-002O</t>
  </si>
  <si>
    <t>SCE-17-L-002P</t>
  </si>
  <si>
    <t>SCE-17-L-002Q</t>
  </si>
  <si>
    <t>SCE-17-L-002R</t>
  </si>
  <si>
    <t>SCE-17-L-002T</t>
  </si>
  <si>
    <t>SCE-17-L-003A</t>
  </si>
  <si>
    <t>SCE-17-L-003B</t>
  </si>
  <si>
    <t>SCE-17-L-003C</t>
  </si>
  <si>
    <t>SCE-17-L-003D</t>
  </si>
  <si>
    <t>SCE-17-L-003E</t>
  </si>
  <si>
    <t>SCE-17-L-003F</t>
  </si>
  <si>
    <t>SCE-17-L-003G</t>
  </si>
  <si>
    <t>SCE-17-L-002-1</t>
  </si>
  <si>
    <t>3OV0100</t>
  </si>
  <si>
    <t>3OV0200</t>
  </si>
  <si>
    <t>SCE-17-SW-005A</t>
  </si>
  <si>
    <t>SCE-17-SW-010A</t>
  </si>
  <si>
    <t>SCE-17-SW-010C</t>
  </si>
  <si>
    <t>SCE-17-SW-002A</t>
  </si>
  <si>
    <t>SCE-17-SW-002E</t>
  </si>
  <si>
    <t>SCE-17-SW-003A</t>
  </si>
  <si>
    <t>SCE-17-SW-003D</t>
  </si>
  <si>
    <t>SCE-17-SW-004A</t>
  </si>
  <si>
    <t>SCE-17-SW-004D</t>
  </si>
  <si>
    <t>SCE-17-SW-007A</t>
  </si>
  <si>
    <t>SCE-17-SW-007B</t>
  </si>
  <si>
    <t>SCE-17-L-001</t>
  </si>
  <si>
    <t>SCE-17-TP-019</t>
  </si>
  <si>
    <t>SCE-17-L-002I</t>
  </si>
  <si>
    <t>SCE-17-L-002U</t>
  </si>
  <si>
    <t>SCE-17-SW-009</t>
  </si>
  <si>
    <t>SCE-17-SW-006</t>
  </si>
  <si>
    <t>SCE-13-L-002E</t>
  </si>
  <si>
    <t>SCE-13-L-002A</t>
  </si>
  <si>
    <t>SCE-13-L-002Rollup</t>
  </si>
  <si>
    <t>SCE-13-L-002V</t>
  </si>
  <si>
    <t>SCE-13-L-002W</t>
  </si>
  <si>
    <t>[2] Operating budget includes latest OpX 17B adjustments to authorized budget.</t>
  </si>
  <si>
    <t>SCE-13-SW-008</t>
  </si>
  <si>
    <t xml:space="preserve">2017 Total Budget </t>
  </si>
  <si>
    <t>PRP kW</t>
  </si>
  <si>
    <t>BCD Influenced Programs Total</t>
  </si>
  <si>
    <t>Variance</t>
  </si>
  <si>
    <t>[1]  Resource Programs Budgets does not include ESA.  However does include the kWh and kW savings.</t>
  </si>
  <si>
    <t>Energy Efficiency Program Name</t>
  </si>
  <si>
    <t xml:space="preserve">2017 Energy Efficiency Annual Budget Filing </t>
  </si>
  <si>
    <t>Goal</t>
  </si>
  <si>
    <t>SoCalREN</t>
  </si>
  <si>
    <t>[3] Refinery and Agriculture Energy Advisor Programs not shown individually, but are reflected in totals</t>
  </si>
  <si>
    <t>SCE-17-TP-020-A</t>
  </si>
  <si>
    <t>Commercial Calculated Energy Efficiency Program</t>
  </si>
  <si>
    <t>Residential Direct Install</t>
  </si>
  <si>
    <t>UC/CSU Energy Efficiency Partnership</t>
  </si>
  <si>
    <t>North Orange County Cities</t>
  </si>
  <si>
    <t>High Desert Regional Energy Leader Partnership</t>
  </si>
  <si>
    <t>TRC Cost</t>
  </si>
  <si>
    <r>
      <t xml:space="preserve">TRC </t>
    </r>
    <r>
      <rPr>
        <b/>
        <vertAlign val="superscript"/>
        <sz val="18"/>
        <rFont val="Arial"/>
        <family val="2"/>
      </rPr>
      <t>(4)</t>
    </r>
  </si>
  <si>
    <t>[4] TRC Calculation includes an estimated $22.5M in ESPI and $17.6M in P&amp;B</t>
  </si>
  <si>
    <t xml:space="preserve">Not Included </t>
  </si>
  <si>
    <t>Not Included</t>
  </si>
  <si>
    <t>SCE-17-TP-020-B</t>
  </si>
  <si>
    <t>SCE-13-SW-001D1</t>
  </si>
  <si>
    <t>Cost per kWh</t>
  </si>
  <si>
    <t>Cost per kW</t>
  </si>
  <si>
    <t>PAC</t>
  </si>
  <si>
    <t>PAC Cost</t>
  </si>
  <si>
    <t>TRC/PAC Benefit</t>
  </si>
  <si>
    <t>2017 (FINAL)</t>
  </si>
  <si>
    <t>Water Infrastructure Systems EE Program</t>
  </si>
  <si>
    <t>Midsize Industrial Customer Program</t>
  </si>
  <si>
    <t>IDEEA365 Program</t>
  </si>
  <si>
    <t xml:space="preserve">2018 Total Budget </t>
  </si>
  <si>
    <t>2018 (2017 Baseline with Avoided Cost and estimated 2018 Update)</t>
  </si>
  <si>
    <t>Sector</t>
  </si>
  <si>
    <t>ET</t>
  </si>
  <si>
    <t>C&amp;S</t>
  </si>
  <si>
    <t>WE&amp;T</t>
  </si>
  <si>
    <t>EM&amp;V</t>
  </si>
  <si>
    <t>REN</t>
  </si>
  <si>
    <t>Total</t>
  </si>
  <si>
    <t>Residential</t>
  </si>
  <si>
    <t>Commercial</t>
  </si>
  <si>
    <t>Agricultural</t>
  </si>
  <si>
    <t>Public</t>
  </si>
  <si>
    <t>Codes &amp; Standards</t>
  </si>
  <si>
    <t>Industrial</t>
  </si>
  <si>
    <r>
      <t xml:space="preserve">SCE Programs </t>
    </r>
    <r>
      <rPr>
        <b/>
        <vertAlign val="superscript"/>
        <sz val="11"/>
        <color theme="0"/>
        <rFont val="Calibri"/>
        <family val="2"/>
        <scheme val="minor"/>
      </rPr>
      <t>(6)</t>
    </r>
  </si>
  <si>
    <t>Year</t>
  </si>
  <si>
    <t>GWh</t>
  </si>
  <si>
    <t>MW</t>
  </si>
  <si>
    <r>
      <t xml:space="preserve">SCE Net C&amp;S </t>
    </r>
    <r>
      <rPr>
        <b/>
        <vertAlign val="superscript"/>
        <sz val="11"/>
        <color theme="0"/>
        <rFont val="Calibri"/>
        <family val="2"/>
        <scheme val="minor"/>
      </rPr>
      <t>(6)</t>
    </r>
  </si>
  <si>
    <r>
      <t xml:space="preserve">SCE Total Goal </t>
    </r>
    <r>
      <rPr>
        <b/>
        <vertAlign val="superscript"/>
        <sz val="11"/>
        <color theme="0"/>
        <rFont val="Calibri"/>
        <family val="2"/>
        <scheme val="minor"/>
      </rPr>
      <t>(6)</t>
    </r>
  </si>
  <si>
    <t>Growth year-over-year of Goals (for scaling resource sector budgets to match changing goals)</t>
  </si>
  <si>
    <t>N/A</t>
  </si>
  <si>
    <t>TBD</t>
  </si>
  <si>
    <t>Total Cost</t>
  </si>
  <si>
    <t>Admin</t>
  </si>
  <si>
    <t>M&amp;O</t>
  </si>
  <si>
    <t>Non-Incentive Implementation</t>
  </si>
  <si>
    <t xml:space="preserve">Incentive Implementation </t>
  </si>
  <si>
    <t>KWh</t>
  </si>
  <si>
    <t>KW</t>
  </si>
  <si>
    <t>Therm</t>
  </si>
  <si>
    <t>PA Name: Southern California Edison</t>
  </si>
  <si>
    <t>Budget Year: 2017</t>
  </si>
  <si>
    <t>Appendix B.1 – Budget by Budget Category</t>
  </si>
  <si>
    <t>Total Administrative Cost</t>
  </si>
  <si>
    <t>Total Marketing &amp; Outreach</t>
  </si>
  <si>
    <t>Total Direct Implementation (NonIncentives or Rebates)</t>
  </si>
  <si>
    <t xml:space="preserve">Direct Implementation (Incentives &amp; Rebates) </t>
  </si>
  <si>
    <t>Total Direct Implementation</t>
  </si>
  <si>
    <t>New/Existing Program #</t>
  </si>
  <si>
    <t>Main Program Name / Sub-Program Name</t>
  </si>
  <si>
    <t>2015 Authorized Budget</t>
  </si>
  <si>
    <t>2015 Budget Spent [3]</t>
  </si>
  <si>
    <t>2016 Authorized Budget [4]</t>
  </si>
  <si>
    <t>2017 Proposed Budget</t>
  </si>
  <si>
    <t>2015 Budget (after all fundshifting) [1]</t>
  </si>
  <si>
    <t>Program Type</t>
  </si>
  <si>
    <t>Market Sector</t>
  </si>
  <si>
    <t>Resource or Non-resource</t>
  </si>
  <si>
    <t>Program Status</t>
  </si>
  <si>
    <t>Utility Grouping</t>
  </si>
  <si>
    <t>SCE-13-SW-001</t>
  </si>
  <si>
    <t>California Statewide Program for Residential Energy Efficiency</t>
  </si>
  <si>
    <t>Core - SW/3P</t>
  </si>
  <si>
    <t>Residential Programs</t>
  </si>
  <si>
    <t>SCE-13-SW-001A</t>
  </si>
  <si>
    <t>Resource</t>
  </si>
  <si>
    <t>Existing</t>
  </si>
  <si>
    <t>Energy Advisor</t>
  </si>
  <si>
    <t>SCE-13-SW-001B</t>
  </si>
  <si>
    <t>Revised</t>
  </si>
  <si>
    <t>PLA</t>
  </si>
  <si>
    <t>SCE-13-SW-001C</t>
  </si>
  <si>
    <t>Core - SW</t>
  </si>
  <si>
    <t>MFEER</t>
  </si>
  <si>
    <t>SCE-13-SW-001D</t>
  </si>
  <si>
    <t>Whole House</t>
  </si>
  <si>
    <t>SCE-13-SW-001E</t>
  </si>
  <si>
    <t>Discontinued</t>
  </si>
  <si>
    <t>HVAC</t>
  </si>
  <si>
    <t>SCE-13-SW-001F</t>
  </si>
  <si>
    <t>Non-Resource</t>
  </si>
  <si>
    <t>New Construction</t>
  </si>
  <si>
    <t>SCE-13-SW-001G</t>
  </si>
  <si>
    <t>New</t>
  </si>
  <si>
    <t>Direct Install</t>
  </si>
  <si>
    <t>SCE-13-SW-002</t>
  </si>
  <si>
    <t>Statewide Commercial Energy Efficiency Program</t>
  </si>
  <si>
    <t>Commercial Programs</t>
  </si>
  <si>
    <t>SCE-13-SW-002A</t>
  </si>
  <si>
    <t>SCE-13-SW-002B</t>
  </si>
  <si>
    <t>Commercial Calculated Program</t>
  </si>
  <si>
    <t>Calculated Incentives</t>
  </si>
  <si>
    <t>SCE-13-SW-002C</t>
  </si>
  <si>
    <t>Deemed Incentives</t>
  </si>
  <si>
    <t>SCE-13-SW-002D</t>
  </si>
  <si>
    <t>SCE-13-SW-002E</t>
  </si>
  <si>
    <t>Commercial Continuous Energy Improvement Program</t>
  </si>
  <si>
    <t>CEI</t>
  </si>
  <si>
    <t>SCE-13-SW-002F</t>
  </si>
  <si>
    <t>SCE-13-SW-002G</t>
  </si>
  <si>
    <t>Savings By Design</t>
  </si>
  <si>
    <t>SCE-13-SW-002H</t>
  </si>
  <si>
    <t>Lighting Programs</t>
  </si>
  <si>
    <t>SCE-13-SW-003</t>
  </si>
  <si>
    <t>Statewide Industrial Energy Efficiency Program</t>
  </si>
  <si>
    <t>Industrial Programs</t>
  </si>
  <si>
    <t>SCE-13-SW-003A</t>
  </si>
  <si>
    <t>SCE-13-SW-003B</t>
  </si>
  <si>
    <t>SCE-13-SW-003C</t>
  </si>
  <si>
    <t>SCE-13-SW-003D</t>
  </si>
  <si>
    <t>SCE-13-SW-004</t>
  </si>
  <si>
    <t>Statewide Agriculture Energy Efficiency Program</t>
  </si>
  <si>
    <t>Agricultural Programs</t>
  </si>
  <si>
    <t>SCE-13-SW-004A</t>
  </si>
  <si>
    <t>SCE-13-SW-004B</t>
  </si>
  <si>
    <t>SCE-13-SW-004C</t>
  </si>
  <si>
    <t>SCE-13-SW-004D</t>
  </si>
  <si>
    <t>SCE-13-SW-005</t>
  </si>
  <si>
    <t>Lighting Program</t>
  </si>
  <si>
    <t>Core -SW/3P</t>
  </si>
  <si>
    <t>Cross Cutting</t>
  </si>
  <si>
    <t>SCE-13-SW-005A</t>
  </si>
  <si>
    <t>SCE-13-SW-005B</t>
  </si>
  <si>
    <t>Lighting Innovation Program</t>
  </si>
  <si>
    <t>SCE-13-SW-005C</t>
  </si>
  <si>
    <t>SCE-13-SW-006</t>
  </si>
  <si>
    <t>DSM Integration Programs</t>
  </si>
  <si>
    <t>SCE-13-SW-007</t>
  </si>
  <si>
    <t>Statewide Finance Program</t>
  </si>
  <si>
    <t>Financing Programs</t>
  </si>
  <si>
    <t>SCE-13-SW-007A</t>
  </si>
  <si>
    <t>SCE-13-SW-007B</t>
  </si>
  <si>
    <t>SCE-13-SW-007C</t>
  </si>
  <si>
    <t>New Finance Offerings</t>
  </si>
  <si>
    <t>Extended from 2013-2015</t>
  </si>
  <si>
    <t>Codes and Standards Program</t>
  </si>
  <si>
    <t>SCE-13-SW-008A</t>
  </si>
  <si>
    <t>Building Codes and Compliance Advocacy</t>
  </si>
  <si>
    <t>SCE-13-SW-008B</t>
  </si>
  <si>
    <t>Appliance Standards Advocacy</t>
  </si>
  <si>
    <t>SCE-13-SW-008C</t>
  </si>
  <si>
    <t>Compliance Improvement</t>
  </si>
  <si>
    <t>SCE-13-SW-008D</t>
  </si>
  <si>
    <t>Reach Codes</t>
  </si>
  <si>
    <t>SCE-13-SW-008E</t>
  </si>
  <si>
    <t>Planning and Coordination</t>
  </si>
  <si>
    <t>SCE-13-SW-009</t>
  </si>
  <si>
    <t>Emerging Technology Programs</t>
  </si>
  <si>
    <t>SCE-13-SW-009A</t>
  </si>
  <si>
    <t>Technology Development Support</t>
  </si>
  <si>
    <t>SCE-13-SW-009B</t>
  </si>
  <si>
    <t>Technology Assessments</t>
  </si>
  <si>
    <t>SCE-13-SW-009C</t>
  </si>
  <si>
    <t>Technology Introduction Support</t>
  </si>
  <si>
    <t>SCE-13-SW-010</t>
  </si>
  <si>
    <t>Workforce Education &amp; Training</t>
  </si>
  <si>
    <t>WE&amp;T Programs</t>
  </si>
  <si>
    <t>SCE-13-SW-010A</t>
  </si>
  <si>
    <t>SCE-13-SW-010B</t>
  </si>
  <si>
    <t>Core- SW/3P</t>
  </si>
  <si>
    <t>SCE-13-SW-010C</t>
  </si>
  <si>
    <t>SCE-13-L-001</t>
  </si>
  <si>
    <t>3P</t>
  </si>
  <si>
    <t>Industrial 3P Programs</t>
  </si>
  <si>
    <t>SCE-13-L-002</t>
  </si>
  <si>
    <t>Energy Leader Partnership Program</t>
  </si>
  <si>
    <t>Govt Partnerships</t>
  </si>
  <si>
    <t>Government Partnerships</t>
  </si>
  <si>
    <t>SCE-13-L-002B</t>
  </si>
  <si>
    <t>SCE-13-L-002C</t>
  </si>
  <si>
    <t>SCE-13-L-002D</t>
  </si>
  <si>
    <t>SCE-13-L-002F</t>
  </si>
  <si>
    <t>SCE-13-L-002G</t>
  </si>
  <si>
    <t>SCE-13-L-002H</t>
  </si>
  <si>
    <t>SCE-13-L-002I</t>
  </si>
  <si>
    <t>Energy Leader Partnership Strategic Support</t>
  </si>
  <si>
    <t>SCE-13-L-002J</t>
  </si>
  <si>
    <t>SCE-13-L-002K</t>
  </si>
  <si>
    <t>SCE-13-L-002L</t>
  </si>
  <si>
    <t>SCE-13-L-002M</t>
  </si>
  <si>
    <t>SCE-13-L-002N</t>
  </si>
  <si>
    <t>SCE-13-L-002O</t>
  </si>
  <si>
    <t>SCE-13-L-002P</t>
  </si>
  <si>
    <t>SCE-13-L-002Q</t>
  </si>
  <si>
    <t>SCE-13-L-002R</t>
  </si>
  <si>
    <t>SCE-13-L-002S</t>
  </si>
  <si>
    <t>SCE-13-L-002T</t>
  </si>
  <si>
    <t>SCE-13-L-002U</t>
  </si>
  <si>
    <t>SCE-13-L-003C</t>
  </si>
  <si>
    <t>SCE-13-L-003D</t>
  </si>
  <si>
    <t>SCE-13-L-003E</t>
  </si>
  <si>
    <t>SCE-13-L-003</t>
  </si>
  <si>
    <t>Institutional and Government Core Energy Efficiency Partnership</t>
  </si>
  <si>
    <t>SCE-13-L-003A</t>
  </si>
  <si>
    <t>SCE-13-L-003B</t>
  </si>
  <si>
    <t>SCE-13-L-003F</t>
  </si>
  <si>
    <t>SCE-13-L-003G</t>
  </si>
  <si>
    <t xml:space="preserve">UC/CSU Energy Efficiency Partnership </t>
  </si>
  <si>
    <t>SCE-13-L-003H</t>
  </si>
  <si>
    <t>Federals Energy Efficiency Partnership</t>
  </si>
  <si>
    <t>Residential Third Party Programs</t>
  </si>
  <si>
    <t>SCE-13-TP-001</t>
  </si>
  <si>
    <t>Residential 3P Programs</t>
  </si>
  <si>
    <t>Commercial Third Party Programs</t>
  </si>
  <si>
    <t>SCE-13-TP-002</t>
  </si>
  <si>
    <t>Commercial 3P Programs</t>
  </si>
  <si>
    <t>SCE-13-TP-003</t>
  </si>
  <si>
    <t>SCE-13-TP-004</t>
  </si>
  <si>
    <t>SCE-13-TP-005</t>
  </si>
  <si>
    <t>SCE-13-TP-013</t>
  </si>
  <si>
    <t>SCE-13-TP-014</t>
  </si>
  <si>
    <t>SCE-13-TP-017</t>
  </si>
  <si>
    <t>Energy Efficiency for Entertainment Centers</t>
  </si>
  <si>
    <t>SCE-13-TP-018</t>
  </si>
  <si>
    <t>SCE-13-TP-021</t>
  </si>
  <si>
    <t>Industrial Third Party Programs</t>
  </si>
  <si>
    <t>SCE-13-TP-006</t>
  </si>
  <si>
    <t>SCE-13-TP-007</t>
  </si>
  <si>
    <t>SCE-13-TP-008</t>
  </si>
  <si>
    <t>SCE-13-TP-009</t>
  </si>
  <si>
    <t>SCE-13-TP-010</t>
  </si>
  <si>
    <t>SCE-13-TP-011</t>
  </si>
  <si>
    <t>SCE-13-TP-012</t>
  </si>
  <si>
    <t>Refinery Energy Efficiency Program</t>
  </si>
  <si>
    <t>SCE-13-TP-023</t>
  </si>
  <si>
    <t>Midsize Industrial Customer Program (MICE)</t>
  </si>
  <si>
    <t>Cross Cutting Third Party Programs</t>
  </si>
  <si>
    <t>SCE-13-TP-019</t>
  </si>
  <si>
    <t>SCE-13-TP-020</t>
  </si>
  <si>
    <t>Commercial/Industrial/Agricultural 3P Programs</t>
  </si>
  <si>
    <t>SCE-13-TP-022</t>
  </si>
  <si>
    <t>Water Infrastructure Systems EE Program (WISE)</t>
  </si>
  <si>
    <t>Total SCE Program Total</t>
  </si>
  <si>
    <t>EM&amp;V (PA &amp; CPUC Portions) Total [5]</t>
  </si>
  <si>
    <t>SCE-3OV0200</t>
  </si>
  <si>
    <t>EM&amp;V - CPUC</t>
  </si>
  <si>
    <t>SCE-3OV0100</t>
  </si>
  <si>
    <t>EM&amp;V - SCE</t>
  </si>
  <si>
    <t>SCE Total with EM&amp;V</t>
  </si>
  <si>
    <t>SCE-13-REN</t>
  </si>
  <si>
    <t>REN/CCA</t>
  </si>
  <si>
    <t>Total SCE 2017 EE Portfolio</t>
  </si>
  <si>
    <t>Other Related EE Budget</t>
  </si>
  <si>
    <t>Statewide Marketing, Education and Outreach Program</t>
  </si>
  <si>
    <t>[1] Program revise budget after the executed fund shifts in 2015 against the 2015 authorized budget</t>
  </si>
  <si>
    <t>[2] Authorized budget excludes reductions from past unspent funds and carryover.  Authorized budget is consistent with funding approved in D.15-01-002</t>
  </si>
  <si>
    <t>[3] Spent included funds expensed, accruals and carryover spent from 2013-2014 for program activities occurring from 1/1/2015 to 12/31/2015</t>
  </si>
  <si>
    <t>[4] Assumed the same authorized budget level as 2015</t>
  </si>
  <si>
    <t>[5] 4% of EE Portfolio budget and applied a 60/40 split for 2017 CPUC-EM&amp;V and SCE-EM&amp;V budget</t>
  </si>
  <si>
    <t xml:space="preserve">Ratio of Net Energy Savings to Gross Energy Savings </t>
  </si>
  <si>
    <t xml:space="preserve">Average Energy Savings EUL (savings weighted) </t>
  </si>
  <si>
    <t>Appendix B.2- Savings and Cost Effectiveness Table</t>
  </si>
  <si>
    <t>Gross kWh Energy Savings</t>
  </si>
  <si>
    <t xml:space="preserve">Gross kW Energy Savings </t>
  </si>
  <si>
    <t xml:space="preserve">Gross Therm Energy Savings </t>
  </si>
  <si>
    <t xml:space="preserve">TRC </t>
  </si>
  <si>
    <r>
      <t xml:space="preserve">net/gross kWh Energy Savings </t>
    </r>
    <r>
      <rPr>
        <b/>
        <vertAlign val="superscript"/>
        <sz val="10"/>
        <rFont val="Arial"/>
        <family val="2"/>
      </rPr>
      <t>(1)</t>
    </r>
  </si>
  <si>
    <r>
      <t xml:space="preserve">net/gross kW Energy Savings </t>
    </r>
    <r>
      <rPr>
        <b/>
        <vertAlign val="superscript"/>
        <sz val="10"/>
        <rFont val="Arial"/>
        <family val="2"/>
      </rPr>
      <t>(1)</t>
    </r>
  </si>
  <si>
    <t>net/gross Therm Energy Savings</t>
  </si>
  <si>
    <t>EUL kWH</t>
  </si>
  <si>
    <t>EUL Therm</t>
  </si>
  <si>
    <t>Program Information</t>
  </si>
  <si>
    <t>2015 Forecast
(Compliance Filing)</t>
  </si>
  <si>
    <t>2015 Claimed
(Preliminary)</t>
  </si>
  <si>
    <t>2016 Forecast</t>
  </si>
  <si>
    <t>2017 Forecast</t>
  </si>
  <si>
    <t>2017 % of Total Gross Program Savings</t>
  </si>
  <si>
    <t>2015 Claimed (preliminary)</t>
  </si>
  <si>
    <t>2015 Claimed (Preliminary)</t>
  </si>
  <si>
    <t>Codes and Standars</t>
  </si>
  <si>
    <t>LIEE</t>
  </si>
  <si>
    <t>Energy Savings Assistance</t>
  </si>
  <si>
    <t>EM&amp;V (PA &amp; CPUC Portions) Total</t>
  </si>
  <si>
    <t>Total SCE Portfolio</t>
  </si>
  <si>
    <t>(1) Codes and Standards uses net savings for reported and forecast savings and are excluded from NTG calculations.</t>
  </si>
  <si>
    <t>Agriculture</t>
  </si>
  <si>
    <t>SCE-13-TP-000</t>
  </si>
  <si>
    <t>Finance</t>
  </si>
  <si>
    <t>Total Portfolio</t>
  </si>
  <si>
    <t>PY 2015 Actual Spent</t>
  </si>
  <si>
    <t>2016 Operating Budget</t>
  </si>
  <si>
    <t>PY 2016 Operating Budget</t>
  </si>
  <si>
    <t>Total Portfolio with EMV(CPUC,SCE), SoCalREN</t>
  </si>
  <si>
    <t>EM&amp;V- SCE</t>
  </si>
  <si>
    <t>EM&amp;V-CPUC</t>
  </si>
  <si>
    <t>Energy Efficiency Portfolio Budget Forecast 2015-2025</t>
  </si>
  <si>
    <t>Energy Efficiency Portfolio Savings Forecast 2015-2025</t>
  </si>
  <si>
    <t>Total Savings Portfolio</t>
  </si>
  <si>
    <t>PY 2015 Claimed</t>
  </si>
  <si>
    <t>PY 2016 Projected</t>
  </si>
  <si>
    <t>PY 2017 Projected</t>
  </si>
  <si>
    <t xml:space="preserve">  </t>
  </si>
  <si>
    <t>PY 2021 Forecasted &gt;2%</t>
  </si>
  <si>
    <t>PY 2022 Forecasted &gt;3%</t>
  </si>
  <si>
    <t>PY 2023 Forecasted &lt;3%</t>
  </si>
  <si>
    <t>PY 2024 Forecasted &lt;3%</t>
  </si>
  <si>
    <t>PY 2025 Forecasted &lt;3%</t>
  </si>
  <si>
    <t>SCE Total Goal</t>
  </si>
  <si>
    <t>PY 2021 Forecast</t>
  </si>
  <si>
    <t>PY 2022 Forecast</t>
  </si>
  <si>
    <t>PY 2023 Forecast</t>
  </si>
  <si>
    <t>PY 2024 Forecast</t>
  </si>
  <si>
    <t>PY 2025 Forecast</t>
  </si>
  <si>
    <t>900,000/ proposed downstream program</t>
  </si>
  <si>
    <t xml:space="preserve">%40 drop in budget due to decrease in goal between 2017 and 2018 </t>
  </si>
  <si>
    <t>ESA</t>
  </si>
  <si>
    <t>TRC</t>
  </si>
  <si>
    <t>ADD 3P BUDGET $8,865,457.50 in Residential Total Cost</t>
  </si>
  <si>
    <t>PY 2018 Optimized</t>
  </si>
  <si>
    <t>PY 2019 Optimized</t>
  </si>
  <si>
    <t>PY 2020 Optimized</t>
  </si>
  <si>
    <t>PY 2017 Projected Expenditures</t>
  </si>
  <si>
    <t>M&amp;O adjusted because of increase in expected cost due to 3P lunch of programs</t>
  </si>
  <si>
    <t>TRC WITH C&amp;S</t>
  </si>
  <si>
    <t>PAC WITH C&amp;S</t>
  </si>
  <si>
    <t xml:space="preserve">PAC </t>
  </si>
  <si>
    <t xml:space="preserve">PY 2020 Forecasted </t>
  </si>
  <si>
    <t xml:space="preserve">PY 2019 Forecasted </t>
  </si>
  <si>
    <r>
      <rPr>
        <sz val="10"/>
        <color theme="1"/>
        <rFont val="Calibri"/>
        <family val="2"/>
        <scheme val="minor"/>
      </rPr>
      <t>TRC (W/O C&amp;S)</t>
    </r>
    <r>
      <rPr>
        <b/>
        <sz val="10"/>
        <color theme="1"/>
        <rFont val="Calibri"/>
        <family val="2"/>
        <scheme val="minor"/>
      </rPr>
      <t xml:space="preserve">  1.00</t>
    </r>
  </si>
  <si>
    <r>
      <rPr>
        <sz val="10"/>
        <color theme="1"/>
        <rFont val="Calibri"/>
        <family val="2"/>
        <scheme val="minor"/>
      </rPr>
      <t>PAC (W/O C&amp;S)</t>
    </r>
    <r>
      <rPr>
        <b/>
        <sz val="10"/>
        <color theme="1"/>
        <rFont val="Calibri"/>
        <family val="2"/>
        <scheme val="minor"/>
      </rPr>
      <t xml:space="preserve">  1.29</t>
    </r>
  </si>
  <si>
    <r>
      <rPr>
        <sz val="10"/>
        <color theme="1"/>
        <rFont val="Calibri"/>
        <family val="2"/>
        <scheme val="minor"/>
      </rPr>
      <t>TRC (With C&amp;S)</t>
    </r>
    <r>
      <rPr>
        <b/>
        <sz val="10"/>
        <color theme="1"/>
        <rFont val="Calibri"/>
        <family val="2"/>
        <scheme val="minor"/>
      </rPr>
      <t xml:space="preserve"> 1.19</t>
    </r>
  </si>
  <si>
    <r>
      <rPr>
        <sz val="10"/>
        <color theme="1"/>
        <rFont val="Calibri"/>
        <family val="2"/>
        <scheme val="minor"/>
      </rPr>
      <t>TRC (W/O C&amp;S)</t>
    </r>
    <r>
      <rPr>
        <b/>
        <sz val="10"/>
        <color theme="1"/>
        <rFont val="Calibri"/>
        <family val="2"/>
        <scheme val="minor"/>
      </rPr>
      <t xml:space="preserve">  1.05</t>
    </r>
  </si>
  <si>
    <r>
      <rPr>
        <sz val="10"/>
        <color theme="1"/>
        <rFont val="Calibri"/>
        <family val="2"/>
        <scheme val="minor"/>
      </rPr>
      <t>TRC (With C&amp;S)</t>
    </r>
    <r>
      <rPr>
        <b/>
        <sz val="10"/>
        <color theme="1"/>
        <rFont val="Calibri"/>
        <family val="2"/>
        <scheme val="minor"/>
      </rPr>
      <t xml:space="preserve"> 1.23</t>
    </r>
  </si>
  <si>
    <r>
      <rPr>
        <sz val="10"/>
        <color theme="1"/>
        <rFont val="Calibri"/>
        <family val="2"/>
        <scheme val="minor"/>
      </rPr>
      <t>TRC (With C&amp;S)</t>
    </r>
    <r>
      <rPr>
        <b/>
        <sz val="10"/>
        <color theme="1"/>
        <rFont val="Calibri"/>
        <family val="2"/>
        <scheme val="minor"/>
      </rPr>
      <t xml:space="preserve"> 1.28</t>
    </r>
  </si>
  <si>
    <t>Program Name</t>
  </si>
  <si>
    <t>Total Savings (kWh)</t>
  </si>
  <si>
    <t>Total Savings (kW)</t>
  </si>
  <si>
    <t>TRC (Optimized)</t>
  </si>
  <si>
    <t>PAC (Optimized)</t>
  </si>
  <si>
    <t>SCE-13-ESPI</t>
  </si>
  <si>
    <t>ESPI</t>
  </si>
  <si>
    <t>SCE-13-PB</t>
  </si>
  <si>
    <t>Pension &amp; Benefits</t>
  </si>
  <si>
    <t>Pension and Benefits</t>
  </si>
  <si>
    <t>SCE-18-XXX</t>
  </si>
  <si>
    <t>SCE New Res Programs 2018</t>
  </si>
  <si>
    <t>SCE-19-XXX</t>
  </si>
  <si>
    <t>SCE New Res Programs 2019</t>
  </si>
  <si>
    <t>SCE-20-XXX</t>
  </si>
  <si>
    <t>SCE New Res Programs 2020</t>
  </si>
  <si>
    <t>ProgramCosts</t>
  </si>
  <si>
    <t>TotalIncentives</t>
  </si>
  <si>
    <t>TotalCosts</t>
  </si>
  <si>
    <t>PrgAdminCostsOverheadAndGA</t>
  </si>
  <si>
    <t>PrgAdminCostsOther</t>
  </si>
  <si>
    <t>PrgMarketingOutreach</t>
  </si>
  <si>
    <t>PrgDIActivity</t>
  </si>
  <si>
    <t>PrgDIInstallation</t>
  </si>
  <si>
    <t>PrgDIHardwareAndMaterials</t>
  </si>
  <si>
    <t>PrgDIRebateAndInspection</t>
  </si>
  <si>
    <t>PrgEMV</t>
  </si>
  <si>
    <t>PrgUserInputIncentive</t>
  </si>
  <si>
    <t>PrgCostsRecoveredFromOtherSources</t>
  </si>
  <si>
    <t>DILaborCost</t>
  </si>
  <si>
    <t>DIMaterialCost</t>
  </si>
  <si>
    <t>EndUserRebate</t>
  </si>
  <si>
    <t>IncentiveToOthers</t>
  </si>
  <si>
    <t>GrossMeasureCost</t>
  </si>
  <si>
    <t>Excess Incentives</t>
  </si>
  <si>
    <t>NetParticipantCost</t>
  </si>
  <si>
    <t>DiscountedSavingsGrosskWh</t>
  </si>
  <si>
    <t>DiscountedSavingsNetkWh</t>
  </si>
  <si>
    <t>DiscountedSavingsGrossThm</t>
  </si>
  <si>
    <t>DiscountedSavingsNetThm</t>
  </si>
  <si>
    <t>LevBenElec</t>
  </si>
  <si>
    <t>LevBenGas</t>
  </si>
  <si>
    <t>LevTRCCost</t>
  </si>
  <si>
    <t>LevTRCCostNoAdmin</t>
  </si>
  <si>
    <t>LevPACCost</t>
  </si>
  <si>
    <t>LevPACCostNoAdmin</t>
  </si>
  <si>
    <t>LevRIMCost</t>
  </si>
  <si>
    <t>LevNetBenTRCElec</t>
  </si>
  <si>
    <t>LevNetBenTRCElecNoAdmin</t>
  </si>
  <si>
    <t>LevNetBenPACElec</t>
  </si>
  <si>
    <t>LevNetBenPACElecNoAdmin</t>
  </si>
  <si>
    <t>LevNetBenTRCGas</t>
  </si>
  <si>
    <t>LevNetBenTRCGasNoAdmin</t>
  </si>
  <si>
    <t>LevNetBenPACGas</t>
  </si>
  <si>
    <t>LevNetBenPACGasNoAdmin</t>
  </si>
  <si>
    <t>LevNetBenRIMElec</t>
  </si>
  <si>
    <t>LevNetBenRIMGas</t>
  </si>
  <si>
    <t xml:space="preserve">Administrative </t>
  </si>
  <si>
    <t>Checks</t>
  </si>
  <si>
    <t>4% EM&amp;V</t>
  </si>
  <si>
    <t>Data</t>
  </si>
  <si>
    <t>18427628.5543901-178259(gas)</t>
  </si>
  <si>
    <t>28490035.1664793-549906(gas)</t>
  </si>
  <si>
    <t>Gas Benefits</t>
  </si>
  <si>
    <r>
      <rPr>
        <sz val="10"/>
        <color theme="1"/>
        <rFont val="Calibri"/>
        <family val="2"/>
        <scheme val="minor"/>
      </rPr>
      <t>TRC (W/O C&amp;S)</t>
    </r>
    <r>
      <rPr>
        <b/>
        <sz val="10"/>
        <color theme="1"/>
        <rFont val="Calibri"/>
        <family val="2"/>
        <scheme val="minor"/>
      </rPr>
      <t xml:space="preserve">  1.10</t>
    </r>
  </si>
  <si>
    <r>
      <rPr>
        <sz val="10"/>
        <color theme="1"/>
        <rFont val="Calibri"/>
        <family val="2"/>
        <scheme val="minor"/>
      </rPr>
      <t>PAC (W/O C&amp;S)</t>
    </r>
    <r>
      <rPr>
        <b/>
        <sz val="10"/>
        <color theme="1"/>
        <rFont val="Calibri"/>
        <family val="2"/>
        <scheme val="minor"/>
      </rPr>
      <t xml:space="preserve">  1.42</t>
    </r>
  </si>
  <si>
    <r>
      <rPr>
        <sz val="10"/>
        <color theme="1"/>
        <rFont val="Calibri"/>
        <family val="2"/>
        <scheme val="minor"/>
      </rPr>
      <t>PAC (With C&amp;S)</t>
    </r>
    <r>
      <rPr>
        <b/>
        <sz val="10"/>
        <color theme="1"/>
        <rFont val="Calibri"/>
        <family val="2"/>
        <scheme val="minor"/>
      </rPr>
      <t xml:space="preserve"> 2.38</t>
    </r>
  </si>
  <si>
    <r>
      <rPr>
        <sz val="10"/>
        <color theme="1"/>
        <rFont val="Calibri"/>
        <family val="2"/>
        <scheme val="minor"/>
      </rPr>
      <t>PAC (W/O C&amp;S)</t>
    </r>
    <r>
      <rPr>
        <b/>
        <sz val="10"/>
        <color theme="1"/>
        <rFont val="Calibri"/>
        <family val="2"/>
        <scheme val="minor"/>
      </rPr>
      <t xml:space="preserve">  1.35</t>
    </r>
  </si>
  <si>
    <r>
      <rPr>
        <sz val="10"/>
        <color theme="1"/>
        <rFont val="Calibri"/>
        <family val="2"/>
        <scheme val="minor"/>
      </rPr>
      <t>PAC (With C&amp;S)</t>
    </r>
    <r>
      <rPr>
        <b/>
        <sz val="10"/>
        <color theme="1"/>
        <rFont val="Calibri"/>
        <family val="2"/>
        <scheme val="minor"/>
      </rPr>
      <t xml:space="preserve"> 2.34</t>
    </r>
  </si>
  <si>
    <r>
      <rPr>
        <sz val="10"/>
        <color theme="1"/>
        <rFont val="Calibri"/>
        <family val="2"/>
        <scheme val="minor"/>
      </rPr>
      <t>PAC (With C&amp;S)</t>
    </r>
    <r>
      <rPr>
        <b/>
        <sz val="10"/>
        <color theme="1"/>
        <rFont val="Calibri"/>
        <family val="2"/>
        <scheme val="minor"/>
      </rPr>
      <t xml:space="preserve"> 2.31</t>
    </r>
  </si>
  <si>
    <t>Goal Attainment KWh</t>
  </si>
  <si>
    <t>Goal Attainment KW</t>
  </si>
  <si>
    <t>TRC Ratio</t>
  </si>
  <si>
    <t>PAC Ratio</t>
  </si>
  <si>
    <t>Elec Benefits</t>
  </si>
  <si>
    <t>Elec Benfit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</si>
</sst>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_(* #,##0.00_);_(* \(#,##0.00\);_(* &quot;-&quot;_);_(@_)"/>
    <numFmt numFmtId="170" formatCode="_(* #,##0.0000_);_(* \(#,##0.0000\);_(* &quot;-&quot;??_);_(@_)"/>
    <numFmt numFmtId="171" formatCode="0_);\(0\)"/>
    <numFmt numFmtId="172" formatCode="#,##0.0000"/>
    <numFmt numFmtId="173" formatCode="0.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color theme="1"/>
      <name val="Arial"/>
      <family val="2"/>
    </font>
    <font>
      <b/>
      <sz val="18"/>
      <color indexed="9"/>
      <name val="Arial"/>
      <family val="2"/>
    </font>
    <font>
      <b/>
      <sz val="18"/>
      <color rgb="FFFFFFFF"/>
      <name val="Arial"/>
      <family val="2"/>
    </font>
    <font>
      <b/>
      <sz val="18"/>
      <color theme="1"/>
      <name val="Arial"/>
      <family val="2"/>
    </font>
    <font>
      <b/>
      <vertAlign val="superscript"/>
      <sz val="18"/>
      <name val="Arial"/>
      <family val="2"/>
    </font>
    <font>
      <b/>
      <sz val="18"/>
      <color indexed="8"/>
      <name val="Arial"/>
      <family val="2"/>
    </font>
    <font>
      <b/>
      <vertAlign val="superscript"/>
      <sz val="18"/>
      <color indexed="8"/>
      <name val="Arial"/>
      <family val="2"/>
    </font>
    <font>
      <b/>
      <vertAlign val="superscript"/>
      <sz val="18"/>
      <color theme="0"/>
      <name val="Arial"/>
      <family val="2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u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5"/>
      </patternFill>
    </fill>
  </fills>
  <borders count="7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1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5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" fillId="0" borderId="0"/>
    <xf numFmtId="0" fontId="28" fillId="0" borderId="0"/>
    <xf numFmtId="165" fontId="29" fillId="0" borderId="0" applyFont="0" applyFill="0" applyBorder="0" applyAlignment="0" applyProtection="0"/>
    <xf numFmtId="0" fontId="29" fillId="0" borderId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9" fontId="23" fillId="0" borderId="0" applyFont="0" applyFill="0" applyBorder="0" applyAlignment="0" applyProtection="0"/>
    <xf numFmtId="0" fontId="38" fillId="0" borderId="0"/>
    <xf numFmtId="0" fontId="1" fillId="39" borderId="0" applyNumberFormat="0" applyBorder="0" applyAlignment="0" applyProtection="0"/>
  </cellStyleXfs>
  <cellXfs count="679">
    <xf numFmtId="0" fontId="0" fillId="0" borderId="0" xfId="0"/>
    <xf numFmtId="0" fontId="2" fillId="5" borderId="6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164" fontId="5" fillId="6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horizontal="right" vertical="center"/>
    </xf>
    <xf numFmtId="0" fontId="4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167" fontId="5" fillId="7" borderId="1" xfId="1" applyNumberFormat="1" applyFont="1" applyFill="1" applyBorder="1" applyAlignment="1">
      <alignment horizontal="right" vertical="center"/>
    </xf>
    <xf numFmtId="164" fontId="4" fillId="2" borderId="7" xfId="2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left" vertical="center"/>
    </xf>
    <xf numFmtId="167" fontId="2" fillId="11" borderId="1" xfId="1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left" vertical="center"/>
    </xf>
    <xf numFmtId="167" fontId="2" fillId="13" borderId="1" xfId="2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64" fontId="4" fillId="0" borderId="7" xfId="1" applyNumberFormat="1" applyFont="1" applyFill="1" applyBorder="1" applyAlignment="1">
      <alignment horizontal="right" vertical="center"/>
    </xf>
    <xf numFmtId="167" fontId="5" fillId="9" borderId="1" xfId="2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14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vertical="center"/>
    </xf>
    <xf numFmtId="167" fontId="9" fillId="15" borderId="1" xfId="1" applyNumberFormat="1" applyFont="1" applyFill="1" applyBorder="1" applyAlignment="1">
      <alignment horizontal="right" vertical="center"/>
    </xf>
    <xf numFmtId="164" fontId="2" fillId="2" borderId="7" xfId="1" applyNumberFormat="1" applyFont="1" applyFill="1" applyBorder="1" applyAlignment="1">
      <alignment horizontal="right" vertical="center"/>
    </xf>
    <xf numFmtId="0" fontId="2" fillId="16" borderId="1" xfId="0" applyFont="1" applyFill="1" applyBorder="1" applyAlignment="1">
      <alignment horizontal="left" vertical="center"/>
    </xf>
    <xf numFmtId="167" fontId="2" fillId="17" borderId="1" xfId="2" applyNumberFormat="1" applyFont="1" applyFill="1" applyBorder="1" applyAlignment="1">
      <alignment horizontal="right" vertical="center"/>
    </xf>
    <xf numFmtId="167" fontId="2" fillId="18" borderId="1" xfId="2" applyNumberFormat="1" applyFont="1" applyFill="1" applyBorder="1" applyAlignment="1">
      <alignment horizontal="right" vertical="center"/>
    </xf>
    <xf numFmtId="164" fontId="2" fillId="2" borderId="7" xfId="2" applyNumberFormat="1" applyFont="1" applyFill="1" applyBorder="1" applyAlignment="1">
      <alignment horizontal="right" vertical="center"/>
    </xf>
    <xf numFmtId="0" fontId="12" fillId="19" borderId="1" xfId="0" applyFont="1" applyFill="1" applyBorder="1" applyAlignment="1">
      <alignment vertical="center"/>
    </xf>
    <xf numFmtId="167" fontId="2" fillId="5" borderId="1" xfId="2" applyNumberFormat="1" applyFont="1" applyFill="1" applyBorder="1" applyAlignment="1">
      <alignment horizontal="right" vertical="center"/>
    </xf>
    <xf numFmtId="164" fontId="10" fillId="2" borderId="7" xfId="2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/>
    <xf numFmtId="167" fontId="5" fillId="6" borderId="1" xfId="2" applyNumberFormat="1" applyFont="1" applyFill="1" applyBorder="1" applyAlignment="1">
      <alignment horizontal="left" vertical="center"/>
    </xf>
    <xf numFmtId="164" fontId="5" fillId="6" borderId="1" xfId="2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/>
    <xf numFmtId="167" fontId="5" fillId="8" borderId="1" xfId="2" applyNumberFormat="1" applyFont="1" applyFill="1" applyBorder="1" applyAlignment="1">
      <alignment horizontal="left" vertical="center"/>
    </xf>
    <xf numFmtId="164" fontId="5" fillId="8" borderId="1" xfId="2" applyNumberFormat="1" applyFont="1" applyFill="1" applyBorder="1" applyAlignment="1">
      <alignment horizontal="left" vertical="center"/>
    </xf>
    <xf numFmtId="167" fontId="8" fillId="14" borderId="1" xfId="2" applyNumberFormat="1" applyFont="1" applyFill="1" applyBorder="1" applyAlignment="1">
      <alignment vertical="center"/>
    </xf>
    <xf numFmtId="164" fontId="8" fillId="14" borderId="1" xfId="2" applyNumberFormat="1" applyFont="1" applyFill="1" applyBorder="1" applyAlignment="1">
      <alignment vertical="center"/>
    </xf>
    <xf numFmtId="0" fontId="8" fillId="20" borderId="1" xfId="0" applyFont="1" applyFill="1" applyBorder="1" applyAlignment="1">
      <alignment vertical="center"/>
    </xf>
    <xf numFmtId="167" fontId="8" fillId="20" borderId="1" xfId="2" applyNumberFormat="1" applyFont="1" applyFill="1" applyBorder="1" applyAlignment="1">
      <alignment vertical="center"/>
    </xf>
    <xf numFmtId="164" fontId="8" fillId="20" borderId="1" xfId="2" applyNumberFormat="1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167" fontId="5" fillId="21" borderId="1" xfId="0" applyNumberFormat="1" applyFont="1" applyFill="1" applyBorder="1" applyAlignment="1">
      <alignment vertical="center"/>
    </xf>
    <xf numFmtId="0" fontId="15" fillId="2" borderId="0" xfId="0" applyFont="1" applyFill="1"/>
    <xf numFmtId="168" fontId="4" fillId="0" borderId="6" xfId="1" applyNumberFormat="1" applyFont="1" applyFill="1" applyBorder="1" applyAlignment="1">
      <alignment horizontal="right" vertical="center" wrapText="1"/>
    </xf>
    <xf numFmtId="168" fontId="5" fillId="7" borderId="1" xfId="1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2" fillId="11" borderId="1" xfId="1" applyNumberFormat="1" applyFont="1" applyFill="1" applyBorder="1" applyAlignment="1">
      <alignment horizontal="right" vertical="center" wrapText="1"/>
    </xf>
    <xf numFmtId="168" fontId="2" fillId="13" borderId="1" xfId="1" applyNumberFormat="1" applyFont="1" applyFill="1" applyBorder="1" applyAlignment="1">
      <alignment horizontal="right" vertical="center" wrapText="1"/>
    </xf>
    <xf numFmtId="164" fontId="4" fillId="0" borderId="7" xfId="1" applyNumberFormat="1" applyFont="1" applyFill="1" applyBorder="1" applyAlignment="1">
      <alignment horizontal="right" vertical="center" wrapText="1"/>
    </xf>
    <xf numFmtId="168" fontId="9" fillId="15" borderId="1" xfId="1" applyNumberFormat="1" applyFont="1" applyFill="1" applyBorder="1" applyAlignment="1">
      <alignment horizontal="right" vertical="center" wrapText="1"/>
    </xf>
    <xf numFmtId="164" fontId="2" fillId="2" borderId="7" xfId="1" applyNumberFormat="1" applyFont="1" applyFill="1" applyBorder="1" applyAlignment="1">
      <alignment horizontal="right" vertical="center" wrapText="1"/>
    </xf>
    <xf numFmtId="164" fontId="2" fillId="17" borderId="1" xfId="0" applyNumberFormat="1" applyFont="1" applyFill="1" applyBorder="1" applyAlignment="1">
      <alignment horizontal="right" vertical="center"/>
    </xf>
    <xf numFmtId="164" fontId="2" fillId="18" borderId="1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5" borderId="1" xfId="2" applyNumberFormat="1" applyFont="1" applyFill="1" applyBorder="1" applyAlignment="1">
      <alignment horizontal="right" vertical="center" wrapText="1"/>
    </xf>
    <xf numFmtId="164" fontId="10" fillId="2" borderId="7" xfId="0" applyNumberFormat="1" applyFont="1" applyFill="1" applyBorder="1" applyAlignment="1">
      <alignment horizontal="right" wrapText="1"/>
    </xf>
    <xf numFmtId="0" fontId="2" fillId="5" borderId="1" xfId="2" applyNumberFormat="1" applyFont="1" applyFill="1" applyBorder="1" applyAlignment="1">
      <alignment horizontal="center" vertical="center" wrapText="1"/>
    </xf>
    <xf numFmtId="166" fontId="4" fillId="0" borderId="6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vertical="center" wrapText="1"/>
    </xf>
    <xf numFmtId="164" fontId="4" fillId="22" borderId="1" xfId="2" applyNumberFormat="1" applyFont="1" applyFill="1" applyBorder="1" applyAlignment="1">
      <alignment horizontal="right" vertical="center"/>
    </xf>
    <xf numFmtId="168" fontId="4" fillId="22" borderId="6" xfId="1" applyNumberFormat="1" applyFont="1" applyFill="1" applyBorder="1" applyAlignment="1">
      <alignment horizontal="right" vertical="center" wrapText="1"/>
    </xf>
    <xf numFmtId="40" fontId="4" fillId="22" borderId="1" xfId="1" applyNumberFormat="1" applyFont="1" applyFill="1" applyBorder="1" applyAlignment="1">
      <alignment horizontal="right" vertical="center" wrapText="1"/>
    </xf>
    <xf numFmtId="0" fontId="5" fillId="23" borderId="1" xfId="0" applyFont="1" applyFill="1" applyBorder="1" applyAlignment="1">
      <alignment horizontal="left" vertical="center"/>
    </xf>
    <xf numFmtId="167" fontId="5" fillId="24" borderId="1" xfId="2" applyNumberFormat="1" applyFont="1" applyFill="1" applyBorder="1" applyAlignment="1">
      <alignment horizontal="right" vertical="center"/>
    </xf>
    <xf numFmtId="164" fontId="5" fillId="24" borderId="1" xfId="1" applyNumberFormat="1" applyFont="1" applyFill="1" applyBorder="1" applyAlignment="1">
      <alignment horizontal="right" vertical="center" wrapText="1"/>
    </xf>
    <xf numFmtId="0" fontId="2" fillId="25" borderId="1" xfId="2" applyNumberFormat="1" applyFont="1" applyFill="1" applyBorder="1" applyAlignment="1">
      <alignment horizontal="center" vertical="center" wrapText="1"/>
    </xf>
    <xf numFmtId="168" fontId="5" fillId="21" borderId="1" xfId="1" applyNumberFormat="1" applyFont="1" applyFill="1" applyBorder="1" applyAlignment="1">
      <alignment vertical="center"/>
    </xf>
    <xf numFmtId="0" fontId="5" fillId="26" borderId="1" xfId="0" applyFont="1" applyFill="1" applyBorder="1" applyAlignment="1">
      <alignment vertical="center"/>
    </xf>
    <xf numFmtId="167" fontId="5" fillId="26" borderId="1" xfId="0" applyNumberFormat="1" applyFont="1" applyFill="1" applyBorder="1" applyAlignment="1">
      <alignment vertical="center"/>
    </xf>
    <xf numFmtId="168" fontId="5" fillId="26" borderId="1" xfId="1" applyNumberFormat="1" applyFont="1" applyFill="1" applyBorder="1" applyAlignment="1">
      <alignment vertical="center"/>
    </xf>
    <xf numFmtId="2" fontId="5" fillId="26" borderId="1" xfId="0" applyNumberFormat="1" applyFont="1" applyFill="1" applyBorder="1" applyAlignment="1">
      <alignment vertical="center"/>
    </xf>
    <xf numFmtId="0" fontId="5" fillId="27" borderId="0" xfId="0" applyFont="1" applyFill="1" applyBorder="1" applyAlignment="1">
      <alignment vertical="center"/>
    </xf>
    <xf numFmtId="167" fontId="5" fillId="27" borderId="0" xfId="0" applyNumberFormat="1" applyFont="1" applyFill="1" applyBorder="1" applyAlignment="1">
      <alignment vertical="center"/>
    </xf>
    <xf numFmtId="168" fontId="5" fillId="27" borderId="0" xfId="1" applyNumberFormat="1" applyFont="1" applyFill="1" applyBorder="1" applyAlignment="1">
      <alignment vertical="center"/>
    </xf>
    <xf numFmtId="2" fontId="5" fillId="27" borderId="0" xfId="0" applyNumberFormat="1" applyFont="1" applyFill="1" applyBorder="1" applyAlignment="1">
      <alignment vertical="center"/>
    </xf>
    <xf numFmtId="167" fontId="0" fillId="0" borderId="0" xfId="0" applyNumberFormat="1"/>
    <xf numFmtId="164" fontId="4" fillId="2" borderId="1" xfId="2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164" fontId="6" fillId="7" borderId="4" xfId="1" applyNumberFormat="1" applyFont="1" applyFill="1" applyBorder="1" applyAlignment="1">
      <alignment horizontal="center" vertical="center" wrapText="1"/>
    </xf>
    <xf numFmtId="164" fontId="4" fillId="9" borderId="4" xfId="1" applyNumberFormat="1" applyFont="1" applyFill="1" applyBorder="1" applyAlignment="1">
      <alignment horizontal="right" vertical="center" wrapText="1"/>
    </xf>
    <xf numFmtId="164" fontId="2" fillId="10" borderId="4" xfId="0" applyNumberFormat="1" applyFont="1" applyFill="1" applyBorder="1" applyAlignment="1">
      <alignment horizontal="right" vertical="center"/>
    </xf>
    <xf numFmtId="164" fontId="2" fillId="12" borderId="4" xfId="0" applyNumberFormat="1" applyFont="1" applyFill="1" applyBorder="1" applyAlignment="1">
      <alignment horizontal="right" vertical="center"/>
    </xf>
    <xf numFmtId="164" fontId="5" fillId="14" borderId="4" xfId="0" applyNumberFormat="1" applyFont="1" applyFill="1" applyBorder="1" applyAlignment="1">
      <alignment horizontal="right" vertical="center"/>
    </xf>
    <xf numFmtId="40" fontId="4" fillId="22" borderId="6" xfId="1" applyNumberFormat="1" applyFont="1" applyFill="1" applyBorder="1" applyAlignment="1">
      <alignment horizontal="right" vertical="center" wrapText="1"/>
    </xf>
    <xf numFmtId="166" fontId="5" fillId="7" borderId="1" xfId="1" applyNumberFormat="1" applyFont="1" applyFill="1" applyBorder="1" applyAlignment="1">
      <alignment horizontal="right" vertical="center" wrapText="1"/>
    </xf>
    <xf numFmtId="169" fontId="2" fillId="11" borderId="1" xfId="1" applyNumberFormat="1" applyFont="1" applyFill="1" applyBorder="1" applyAlignment="1">
      <alignment horizontal="right" vertical="center" wrapText="1"/>
    </xf>
    <xf numFmtId="166" fontId="2" fillId="13" borderId="1" xfId="1" applyNumberFormat="1" applyFont="1" applyFill="1" applyBorder="1" applyAlignment="1">
      <alignment horizontal="right" vertical="center" wrapText="1"/>
    </xf>
    <xf numFmtId="166" fontId="9" fillId="15" borderId="1" xfId="1" applyNumberFormat="1" applyFont="1" applyFill="1" applyBorder="1" applyAlignment="1">
      <alignment horizontal="right" vertical="center" wrapText="1"/>
    </xf>
    <xf numFmtId="169" fontId="5" fillId="9" borderId="1" xfId="1" applyNumberFormat="1" applyFont="1" applyFill="1" applyBorder="1" applyAlignment="1">
      <alignment horizontal="right" vertical="center" wrapText="1"/>
    </xf>
    <xf numFmtId="169" fontId="5" fillId="24" borderId="1" xfId="1" applyNumberFormat="1" applyFont="1" applyFill="1" applyBorder="1" applyAlignment="1">
      <alignment horizontal="right" vertical="center" wrapText="1"/>
    </xf>
    <xf numFmtId="169" fontId="2" fillId="5" borderId="1" xfId="2" applyNumberFormat="1" applyFont="1" applyFill="1" applyBorder="1" applyAlignment="1">
      <alignment horizontal="right" vertical="center" wrapText="1"/>
    </xf>
    <xf numFmtId="166" fontId="5" fillId="21" borderId="1" xfId="1" applyNumberFormat="1" applyFont="1" applyFill="1" applyBorder="1" applyAlignment="1">
      <alignment vertical="center"/>
    </xf>
    <xf numFmtId="166" fontId="4" fillId="22" borderId="6" xfId="1" applyNumberFormat="1" applyFont="1" applyFill="1" applyBorder="1" applyAlignment="1">
      <alignment horizontal="right" vertical="center" wrapText="1"/>
    </xf>
    <xf numFmtId="166" fontId="4" fillId="22" borderId="1" xfId="1" applyNumberFormat="1" applyFont="1" applyFill="1" applyBorder="1" applyAlignment="1">
      <alignment horizontal="right" vertical="center" wrapText="1"/>
    </xf>
    <xf numFmtId="167" fontId="5" fillId="21" borderId="1" xfId="2" applyNumberFormat="1" applyFont="1" applyFill="1" applyBorder="1" applyAlignment="1">
      <alignment vertical="center"/>
    </xf>
    <xf numFmtId="167" fontId="2" fillId="5" borderId="1" xfId="2" applyNumberFormat="1" applyFont="1" applyFill="1" applyBorder="1" applyAlignment="1">
      <alignment horizontal="right" vertical="center" wrapText="1"/>
    </xf>
    <xf numFmtId="167" fontId="9" fillId="15" borderId="1" xfId="2" applyNumberFormat="1" applyFont="1" applyFill="1" applyBorder="1" applyAlignment="1">
      <alignment horizontal="right" vertical="center" wrapText="1"/>
    </xf>
    <xf numFmtId="167" fontId="5" fillId="24" borderId="1" xfId="2" applyNumberFormat="1" applyFont="1" applyFill="1" applyBorder="1" applyAlignment="1">
      <alignment horizontal="right" vertical="center" wrapText="1"/>
    </xf>
    <xf numFmtId="167" fontId="2" fillId="11" borderId="1" xfId="2" applyNumberFormat="1" applyFont="1" applyFill="1" applyBorder="1" applyAlignment="1">
      <alignment horizontal="right" vertical="center" wrapText="1"/>
    </xf>
    <xf numFmtId="167" fontId="5" fillId="7" borderId="1" xfId="2" applyNumberFormat="1" applyFont="1" applyFill="1" applyBorder="1" applyAlignment="1">
      <alignment horizontal="right" vertical="center" wrapText="1"/>
    </xf>
    <xf numFmtId="0" fontId="2" fillId="4" borderId="0" xfId="2" applyNumberFormat="1" applyFont="1" applyFill="1" applyBorder="1" applyAlignment="1">
      <alignment horizontal="center" wrapText="1"/>
    </xf>
    <xf numFmtId="170" fontId="4" fillId="0" borderId="6" xfId="1" applyNumberFormat="1" applyFont="1" applyFill="1" applyBorder="1" applyAlignment="1">
      <alignment horizontal="right" vertical="center" wrapText="1"/>
    </xf>
    <xf numFmtId="170" fontId="4" fillId="0" borderId="1" xfId="1" applyNumberFormat="1" applyFont="1" applyFill="1" applyBorder="1" applyAlignment="1">
      <alignment horizontal="right" vertical="center" wrapText="1"/>
    </xf>
    <xf numFmtId="170" fontId="4" fillId="0" borderId="1" xfId="2" applyNumberFormat="1" applyFont="1" applyFill="1" applyBorder="1" applyAlignment="1">
      <alignment horizontal="right" vertical="center"/>
    </xf>
    <xf numFmtId="170" fontId="5" fillId="7" borderId="1" xfId="1" applyNumberFormat="1" applyFont="1" applyFill="1" applyBorder="1" applyAlignment="1">
      <alignment horizontal="right" vertical="center" wrapText="1"/>
    </xf>
    <xf numFmtId="170" fontId="2" fillId="11" borderId="1" xfId="1" applyNumberFormat="1" applyFont="1" applyFill="1" applyBorder="1" applyAlignment="1">
      <alignment horizontal="right" vertical="center" wrapText="1"/>
    </xf>
    <xf numFmtId="170" fontId="2" fillId="13" borderId="1" xfId="1" applyNumberFormat="1" applyFont="1" applyFill="1" applyBorder="1" applyAlignment="1">
      <alignment horizontal="right" vertical="center" wrapText="1"/>
    </xf>
    <xf numFmtId="170" fontId="5" fillId="24" borderId="1" xfId="1" applyNumberFormat="1" applyFont="1" applyFill="1" applyBorder="1" applyAlignment="1">
      <alignment horizontal="right" vertical="center" wrapText="1"/>
    </xf>
    <xf numFmtId="170" fontId="5" fillId="9" borderId="1" xfId="1" applyNumberFormat="1" applyFont="1" applyFill="1" applyBorder="1" applyAlignment="1">
      <alignment horizontal="right" vertical="center" wrapText="1"/>
    </xf>
    <xf numFmtId="170" fontId="9" fillId="15" borderId="1" xfId="1" applyNumberFormat="1" applyFont="1" applyFill="1" applyBorder="1" applyAlignment="1">
      <alignment horizontal="right" vertical="center" wrapText="1"/>
    </xf>
    <xf numFmtId="170" fontId="2" fillId="17" borderId="1" xfId="0" applyNumberFormat="1" applyFont="1" applyFill="1" applyBorder="1" applyAlignment="1">
      <alignment horizontal="right" vertical="center"/>
    </xf>
    <xf numFmtId="170" fontId="2" fillId="18" borderId="1" xfId="0" applyNumberFormat="1" applyFont="1" applyFill="1" applyBorder="1" applyAlignment="1">
      <alignment horizontal="right" vertical="center"/>
    </xf>
    <xf numFmtId="170" fontId="2" fillId="5" borderId="1" xfId="2" applyNumberFormat="1" applyFont="1" applyFill="1" applyBorder="1" applyAlignment="1">
      <alignment horizontal="right" vertical="center" wrapText="1"/>
    </xf>
    <xf numFmtId="170" fontId="5" fillId="21" borderId="1" xfId="1" applyNumberFormat="1" applyFont="1" applyFill="1" applyBorder="1" applyAlignment="1">
      <alignment vertical="center"/>
    </xf>
    <xf numFmtId="166" fontId="4" fillId="22" borderId="1" xfId="2" applyNumberFormat="1" applyFont="1" applyFill="1" applyBorder="1" applyAlignment="1">
      <alignment horizontal="right" vertical="center"/>
    </xf>
    <xf numFmtId="166" fontId="4" fillId="2" borderId="7" xfId="1" applyNumberFormat="1" applyFont="1" applyFill="1" applyBorder="1" applyAlignment="1">
      <alignment horizontal="right" vertical="center" wrapText="1"/>
    </xf>
    <xf numFmtId="166" fontId="4" fillId="9" borderId="5" xfId="1" applyNumberFormat="1" applyFont="1" applyFill="1" applyBorder="1" applyAlignment="1">
      <alignment horizontal="right" vertical="center" wrapText="1"/>
    </xf>
    <xf numFmtId="166" fontId="2" fillId="10" borderId="5" xfId="0" applyNumberFormat="1" applyFont="1" applyFill="1" applyBorder="1" applyAlignment="1">
      <alignment horizontal="right" vertical="center"/>
    </xf>
    <xf numFmtId="166" fontId="2" fillId="12" borderId="5" xfId="0" applyNumberFormat="1" applyFont="1" applyFill="1" applyBorder="1" applyAlignment="1">
      <alignment horizontal="right" vertical="center"/>
    </xf>
    <xf numFmtId="166" fontId="4" fillId="0" borderId="7" xfId="1" applyNumberFormat="1" applyFont="1" applyFill="1" applyBorder="1" applyAlignment="1">
      <alignment horizontal="right" vertical="center" wrapText="1"/>
    </xf>
    <xf numFmtId="166" fontId="5" fillId="14" borderId="5" xfId="0" applyNumberFormat="1" applyFont="1" applyFill="1" applyBorder="1" applyAlignment="1">
      <alignment horizontal="right" vertical="center"/>
    </xf>
    <xf numFmtId="166" fontId="2" fillId="2" borderId="7" xfId="1" applyNumberFormat="1" applyFont="1" applyFill="1" applyBorder="1" applyAlignment="1">
      <alignment horizontal="right" vertical="center" wrapText="1"/>
    </xf>
    <xf numFmtId="166" fontId="2" fillId="2" borderId="7" xfId="0" applyNumberFormat="1" applyFont="1" applyFill="1" applyBorder="1" applyAlignment="1">
      <alignment horizontal="right" vertical="center" wrapText="1"/>
    </xf>
    <xf numFmtId="166" fontId="10" fillId="2" borderId="7" xfId="0" applyNumberFormat="1" applyFont="1" applyFill="1" applyBorder="1" applyAlignment="1">
      <alignment horizontal="right" wrapText="1"/>
    </xf>
    <xf numFmtId="166" fontId="5" fillId="6" borderId="1" xfId="2" applyNumberFormat="1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/>
    <xf numFmtId="166" fontId="5" fillId="8" borderId="1" xfId="2" applyNumberFormat="1" applyFont="1" applyFill="1" applyBorder="1" applyAlignment="1">
      <alignment horizontal="left" vertical="center"/>
    </xf>
    <xf numFmtId="166" fontId="8" fillId="14" borderId="1" xfId="2" applyNumberFormat="1" applyFont="1" applyFill="1" applyBorder="1" applyAlignment="1">
      <alignment vertical="center"/>
    </xf>
    <xf numFmtId="166" fontId="8" fillId="20" borderId="1" xfId="2" applyNumberFormat="1" applyFont="1" applyFill="1" applyBorder="1" applyAlignment="1">
      <alignment vertical="center"/>
    </xf>
    <xf numFmtId="166" fontId="5" fillId="26" borderId="1" xfId="1" applyNumberFormat="1" applyFont="1" applyFill="1" applyBorder="1" applyAlignment="1">
      <alignment vertical="center"/>
    </xf>
    <xf numFmtId="166" fontId="5" fillId="27" borderId="0" xfId="1" applyNumberFormat="1" applyFont="1" applyFill="1" applyBorder="1" applyAlignment="1">
      <alignment vertical="center"/>
    </xf>
    <xf numFmtId="167" fontId="2" fillId="13" borderId="1" xfId="2" applyNumberFormat="1" applyFont="1" applyFill="1" applyBorder="1" applyAlignment="1">
      <alignment horizontal="right" vertical="center" wrapText="1"/>
    </xf>
    <xf numFmtId="165" fontId="0" fillId="0" borderId="0" xfId="0" applyNumberFormat="1"/>
    <xf numFmtId="166" fontId="4" fillId="0" borderId="1" xfId="2" applyNumberFormat="1" applyFont="1" applyFill="1" applyBorder="1" applyAlignment="1">
      <alignment horizontal="right" vertical="center"/>
    </xf>
    <xf numFmtId="166" fontId="2" fillId="11" borderId="1" xfId="1" applyNumberFormat="1" applyFont="1" applyFill="1" applyBorder="1" applyAlignment="1">
      <alignment horizontal="right" vertical="center" wrapText="1"/>
    </xf>
    <xf numFmtId="166" fontId="5" fillId="24" borderId="1" xfId="1" applyNumberFormat="1" applyFont="1" applyFill="1" applyBorder="1" applyAlignment="1">
      <alignment horizontal="right" vertical="center" wrapText="1"/>
    </xf>
    <xf numFmtId="166" fontId="5" fillId="9" borderId="1" xfId="1" applyNumberFormat="1" applyFont="1" applyFill="1" applyBorder="1" applyAlignment="1">
      <alignment horizontal="right" vertical="center" wrapText="1"/>
    </xf>
    <xf numFmtId="166" fontId="2" fillId="5" borderId="1" xfId="2" applyNumberFormat="1" applyFont="1" applyFill="1" applyBorder="1" applyAlignment="1">
      <alignment horizontal="right" vertical="center" wrapText="1"/>
    </xf>
    <xf numFmtId="167" fontId="17" fillId="0" borderId="0" xfId="0" applyNumberFormat="1" applyFont="1"/>
    <xf numFmtId="168" fontId="4" fillId="2" borderId="7" xfId="1" applyNumberFormat="1" applyFont="1" applyFill="1" applyBorder="1" applyAlignment="1">
      <alignment horizontal="right" vertical="center" wrapText="1"/>
    </xf>
    <xf numFmtId="168" fontId="2" fillId="10" borderId="4" xfId="0" applyNumberFormat="1" applyFont="1" applyFill="1" applyBorder="1" applyAlignment="1">
      <alignment horizontal="right" vertical="center"/>
    </xf>
    <xf numFmtId="168" fontId="4" fillId="22" borderId="1" xfId="2" applyNumberFormat="1" applyFont="1" applyFill="1" applyBorder="1" applyAlignment="1">
      <alignment horizontal="right" vertical="center"/>
    </xf>
    <xf numFmtId="164" fontId="5" fillId="14" borderId="3" xfId="0" applyNumberFormat="1" applyFont="1" applyFill="1" applyBorder="1" applyAlignment="1">
      <alignment horizontal="right" vertical="center"/>
    </xf>
    <xf numFmtId="164" fontId="5" fillId="14" borderId="5" xfId="0" applyNumberFormat="1" applyFont="1" applyFill="1" applyBorder="1" applyAlignment="1">
      <alignment horizontal="right" vertical="center"/>
    </xf>
    <xf numFmtId="164" fontId="6" fillId="7" borderId="3" xfId="1" applyNumberFormat="1" applyFont="1" applyFill="1" applyBorder="1" applyAlignment="1">
      <alignment horizontal="center" vertical="center" wrapText="1"/>
    </xf>
    <xf numFmtId="164" fontId="6" fillId="7" borderId="5" xfId="1" applyNumberFormat="1" applyFont="1" applyFill="1" applyBorder="1" applyAlignment="1">
      <alignment horizontal="center" vertical="center" wrapText="1"/>
    </xf>
    <xf numFmtId="164" fontId="4" fillId="9" borderId="3" xfId="1" applyNumberFormat="1" applyFont="1" applyFill="1" applyBorder="1" applyAlignment="1">
      <alignment horizontal="right" vertical="center" wrapText="1"/>
    </xf>
    <xf numFmtId="164" fontId="4" fillId="9" borderId="5" xfId="1" applyNumberFormat="1" applyFont="1" applyFill="1" applyBorder="1" applyAlignment="1">
      <alignment horizontal="right" vertical="center" wrapText="1"/>
    </xf>
    <xf numFmtId="164" fontId="2" fillId="10" borderId="3" xfId="0" applyNumberFormat="1" applyFont="1" applyFill="1" applyBorder="1" applyAlignment="1">
      <alignment horizontal="right" vertical="center"/>
    </xf>
    <xf numFmtId="164" fontId="2" fillId="10" borderId="5" xfId="0" applyNumberFormat="1" applyFont="1" applyFill="1" applyBorder="1" applyAlignment="1">
      <alignment horizontal="right" vertical="center"/>
    </xf>
    <xf numFmtId="164" fontId="2" fillId="12" borderId="3" xfId="0" applyNumberFormat="1" applyFont="1" applyFill="1" applyBorder="1" applyAlignment="1">
      <alignment horizontal="right" vertical="center"/>
    </xf>
    <xf numFmtId="164" fontId="2" fillId="12" borderId="5" xfId="0" applyNumberFormat="1" applyFont="1" applyFill="1" applyBorder="1" applyAlignment="1">
      <alignment horizontal="right" vertical="center"/>
    </xf>
    <xf numFmtId="38" fontId="4" fillId="9" borderId="4" xfId="1" applyNumberFormat="1" applyFont="1" applyFill="1" applyBorder="1" applyAlignment="1">
      <alignment horizontal="right" vertical="center"/>
    </xf>
    <xf numFmtId="38" fontId="2" fillId="10" borderId="4" xfId="0" applyNumberFormat="1" applyFont="1" applyFill="1" applyBorder="1" applyAlignment="1">
      <alignment horizontal="right" vertical="center"/>
    </xf>
    <xf numFmtId="38" fontId="2" fillId="12" borderId="4" xfId="0" applyNumberFormat="1" applyFont="1" applyFill="1" applyBorder="1" applyAlignment="1">
      <alignment horizontal="right" vertical="center"/>
    </xf>
    <xf numFmtId="38" fontId="5" fillId="14" borderId="4" xfId="0" applyNumberFormat="1" applyFont="1" applyFill="1" applyBorder="1" applyAlignment="1">
      <alignment horizontal="right" vertical="center"/>
    </xf>
    <xf numFmtId="164" fontId="5" fillId="28" borderId="1" xfId="1" applyNumberFormat="1" applyFont="1" applyFill="1" applyBorder="1" applyAlignment="1">
      <alignment horizontal="right" vertical="center" wrapText="1"/>
    </xf>
    <xf numFmtId="164" fontId="5" fillId="14" borderId="3" xfId="0" applyNumberFormat="1" applyFont="1" applyFill="1" applyBorder="1" applyAlignment="1">
      <alignment horizontal="right" vertical="center"/>
    </xf>
    <xf numFmtId="164" fontId="5" fillId="14" borderId="5" xfId="0" applyNumberFormat="1" applyFont="1" applyFill="1" applyBorder="1" applyAlignment="1">
      <alignment horizontal="right" vertical="center"/>
    </xf>
    <xf numFmtId="164" fontId="6" fillId="7" borderId="3" xfId="1" applyNumberFormat="1" applyFont="1" applyFill="1" applyBorder="1" applyAlignment="1">
      <alignment horizontal="center" vertical="center" wrapText="1"/>
    </xf>
    <xf numFmtId="164" fontId="6" fillId="7" borderId="5" xfId="1" applyNumberFormat="1" applyFont="1" applyFill="1" applyBorder="1" applyAlignment="1">
      <alignment horizontal="center" vertical="center" wrapText="1"/>
    </xf>
    <xf numFmtId="164" fontId="4" fillId="9" borderId="3" xfId="1" applyNumberFormat="1" applyFont="1" applyFill="1" applyBorder="1" applyAlignment="1">
      <alignment horizontal="right" vertical="center" wrapText="1"/>
    </xf>
    <xf numFmtId="164" fontId="4" fillId="9" borderId="5" xfId="1" applyNumberFormat="1" applyFont="1" applyFill="1" applyBorder="1" applyAlignment="1">
      <alignment horizontal="right" vertical="center" wrapText="1"/>
    </xf>
    <xf numFmtId="164" fontId="2" fillId="10" borderId="3" xfId="0" applyNumberFormat="1" applyFont="1" applyFill="1" applyBorder="1" applyAlignment="1">
      <alignment horizontal="right" vertical="center"/>
    </xf>
    <xf numFmtId="164" fontId="2" fillId="10" borderId="5" xfId="0" applyNumberFormat="1" applyFont="1" applyFill="1" applyBorder="1" applyAlignment="1">
      <alignment horizontal="right" vertical="center"/>
    </xf>
    <xf numFmtId="164" fontId="2" fillId="12" borderId="3" xfId="0" applyNumberFormat="1" applyFont="1" applyFill="1" applyBorder="1" applyAlignment="1">
      <alignment horizontal="right" vertical="center"/>
    </xf>
    <xf numFmtId="164" fontId="2" fillId="12" borderId="5" xfId="0" applyNumberFormat="1" applyFont="1" applyFill="1" applyBorder="1" applyAlignment="1">
      <alignment horizontal="right" vertical="center"/>
    </xf>
    <xf numFmtId="38" fontId="4" fillId="9" borderId="4" xfId="1" applyNumberFormat="1" applyFont="1" applyFill="1" applyBorder="1" applyAlignment="1">
      <alignment horizontal="right" vertical="center"/>
    </xf>
    <xf numFmtId="38" fontId="2" fillId="10" borderId="4" xfId="0" applyNumberFormat="1" applyFont="1" applyFill="1" applyBorder="1" applyAlignment="1">
      <alignment horizontal="right" vertical="center"/>
    </xf>
    <xf numFmtId="38" fontId="2" fillId="12" borderId="4" xfId="0" applyNumberFormat="1" applyFont="1" applyFill="1" applyBorder="1" applyAlignment="1">
      <alignment horizontal="right" vertical="center"/>
    </xf>
    <xf numFmtId="38" fontId="5" fillId="14" borderId="4" xfId="0" applyNumberFormat="1" applyFont="1" applyFill="1" applyBorder="1" applyAlignment="1">
      <alignment horizontal="right" vertical="center"/>
    </xf>
    <xf numFmtId="167" fontId="0" fillId="0" borderId="0" xfId="0" applyNumberFormat="1" applyBorder="1"/>
    <xf numFmtId="0" fontId="20" fillId="0" borderId="0" xfId="0" applyFont="1"/>
    <xf numFmtId="0" fontId="20" fillId="0" borderId="0" xfId="0" applyFont="1" applyBorder="1"/>
    <xf numFmtId="0" fontId="21" fillId="29" borderId="22" xfId="0" applyFont="1" applyFill="1" applyBorder="1" applyAlignment="1">
      <alignment horizontal="center"/>
    </xf>
    <xf numFmtId="0" fontId="21" fillId="29" borderId="23" xfId="0" applyFont="1" applyFill="1" applyBorder="1" applyAlignment="1">
      <alignment horizontal="center"/>
    </xf>
    <xf numFmtId="0" fontId="20" fillId="0" borderId="21" xfId="0" applyFont="1" applyBorder="1"/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20" fillId="0" borderId="13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/>
    <xf numFmtId="167" fontId="0" fillId="0" borderId="0" xfId="0" applyNumberFormat="1"/>
    <xf numFmtId="167" fontId="0" fillId="0" borderId="0" xfId="2" applyNumberFormat="1" applyFont="1"/>
    <xf numFmtId="0" fontId="24" fillId="0" borderId="0" xfId="6" applyFont="1"/>
    <xf numFmtId="0" fontId="26" fillId="0" borderId="27" xfId="6" applyFont="1" applyBorder="1"/>
    <xf numFmtId="167" fontId="26" fillId="0" borderId="28" xfId="7" applyNumberFormat="1" applyFont="1" applyBorder="1"/>
    <xf numFmtId="167" fontId="26" fillId="0" borderId="29" xfId="7" applyNumberFormat="1" applyFont="1" applyBorder="1"/>
    <xf numFmtId="167" fontId="24" fillId="0" borderId="36" xfId="7" applyNumberFormat="1" applyFont="1" applyBorder="1"/>
    <xf numFmtId="168" fontId="24" fillId="0" borderId="31" xfId="8" applyNumberFormat="1" applyFont="1" applyBorder="1"/>
    <xf numFmtId="168" fontId="24" fillId="0" borderId="36" xfId="8" applyNumberFormat="1" applyFont="1" applyBorder="1"/>
    <xf numFmtId="168" fontId="24" fillId="0" borderId="37" xfId="8" applyNumberFormat="1" applyFont="1" applyBorder="1"/>
    <xf numFmtId="168" fontId="24" fillId="0" borderId="10" xfId="8" applyNumberFormat="1" applyFont="1" applyBorder="1"/>
    <xf numFmtId="0" fontId="27" fillId="0" borderId="0" xfId="9" applyFont="1"/>
    <xf numFmtId="0" fontId="28" fillId="2" borderId="0" xfId="10" applyFont="1" applyFill="1"/>
    <xf numFmtId="0" fontId="7" fillId="0" borderId="0" xfId="6" applyFont="1"/>
    <xf numFmtId="0" fontId="27" fillId="2" borderId="0" xfId="10" applyFont="1" applyFill="1" applyBorder="1"/>
    <xf numFmtId="0" fontId="28" fillId="2" borderId="0" xfId="10" applyFont="1" applyFill="1" applyBorder="1" applyAlignment="1"/>
    <xf numFmtId="0" fontId="30" fillId="2" borderId="0" xfId="10" applyFont="1" applyFill="1" applyBorder="1" applyAlignment="1"/>
    <xf numFmtId="0" fontId="27" fillId="0" borderId="27" xfId="10" applyFont="1" applyFill="1" applyBorder="1" applyAlignment="1">
      <alignment horizontal="center" vertical="center" wrapText="1"/>
    </xf>
    <xf numFmtId="0" fontId="27" fillId="0" borderId="41" xfId="12" applyFont="1" applyFill="1" applyBorder="1" applyAlignment="1" applyProtection="1">
      <alignment horizontal="center" vertical="center" wrapText="1"/>
    </xf>
    <xf numFmtId="167" fontId="27" fillId="0" borderId="33" xfId="11" applyNumberFormat="1" applyFont="1" applyFill="1" applyBorder="1" applyAlignment="1" applyProtection="1">
      <alignment horizontal="center" vertical="center" wrapText="1"/>
      <protection locked="0"/>
    </xf>
    <xf numFmtId="167" fontId="27" fillId="0" borderId="10" xfId="11" applyNumberFormat="1" applyFont="1" applyFill="1" applyBorder="1" applyAlignment="1" applyProtection="1">
      <alignment horizontal="center" vertical="center" wrapText="1"/>
      <protection locked="0"/>
    </xf>
    <xf numFmtId="167" fontId="27" fillId="0" borderId="34" xfId="11" applyNumberFormat="1" applyFont="1" applyFill="1" applyBorder="1" applyAlignment="1" applyProtection="1">
      <alignment horizontal="center" vertical="center" wrapText="1"/>
      <protection locked="0"/>
    </xf>
    <xf numFmtId="0" fontId="27" fillId="0" borderId="42" xfId="10" applyFont="1" applyFill="1" applyBorder="1" applyAlignment="1">
      <alignment horizontal="center" vertical="center" wrapText="1"/>
    </xf>
    <xf numFmtId="0" fontId="27" fillId="0" borderId="28" xfId="10" applyFont="1" applyFill="1" applyBorder="1" applyAlignment="1">
      <alignment horizontal="center" vertical="center" wrapText="1"/>
    </xf>
    <xf numFmtId="0" fontId="27" fillId="0" borderId="29" xfId="10" applyFont="1" applyFill="1" applyBorder="1" applyAlignment="1">
      <alignment horizontal="center" vertical="center" wrapText="1"/>
    </xf>
    <xf numFmtId="167" fontId="27" fillId="31" borderId="30" xfId="11" applyNumberFormat="1" applyFont="1" applyFill="1" applyBorder="1" applyAlignment="1">
      <alignment horizontal="left"/>
    </xf>
    <xf numFmtId="167" fontId="27" fillId="31" borderId="43" xfId="11" applyNumberFormat="1" applyFont="1" applyFill="1" applyBorder="1" applyAlignment="1">
      <alignment horizontal="left"/>
    </xf>
    <xf numFmtId="167" fontId="27" fillId="31" borderId="33" xfId="11" applyNumberFormat="1" applyFont="1" applyFill="1" applyBorder="1" applyAlignment="1">
      <alignment horizontal="center"/>
    </xf>
    <xf numFmtId="167" fontId="27" fillId="31" borderId="10" xfId="11" applyNumberFormat="1" applyFont="1" applyFill="1" applyBorder="1" applyAlignment="1">
      <alignment horizontal="center"/>
    </xf>
    <xf numFmtId="167" fontId="27" fillId="31" borderId="34" xfId="11" applyNumberFormat="1" applyFont="1" applyFill="1" applyBorder="1" applyAlignment="1">
      <alignment horizontal="center"/>
    </xf>
    <xf numFmtId="167" fontId="27" fillId="31" borderId="44" xfId="11" applyNumberFormat="1" applyFont="1" applyFill="1" applyBorder="1" applyAlignment="1">
      <alignment horizontal="left"/>
    </xf>
    <xf numFmtId="167" fontId="27" fillId="31" borderId="31" xfId="11" applyNumberFormat="1" applyFont="1" applyFill="1" applyBorder="1" applyAlignment="1">
      <alignment horizontal="left"/>
    </xf>
    <xf numFmtId="167" fontId="27" fillId="31" borderId="31" xfId="11" applyNumberFormat="1" applyFont="1" applyFill="1" applyBorder="1" applyAlignment="1">
      <alignment horizontal="center"/>
    </xf>
    <xf numFmtId="167" fontId="27" fillId="31" borderId="32" xfId="11" applyNumberFormat="1" applyFont="1" applyFill="1" applyBorder="1" applyAlignment="1">
      <alignment horizontal="left"/>
    </xf>
    <xf numFmtId="167" fontId="28" fillId="0" borderId="33" xfId="11" applyNumberFormat="1" applyFont="1" applyFill="1" applyBorder="1" applyAlignment="1">
      <alignment horizontal="left" indent="1"/>
    </xf>
    <xf numFmtId="167" fontId="28" fillId="0" borderId="45" xfId="11" applyNumberFormat="1" applyFont="1" applyFill="1" applyBorder="1" applyAlignment="1">
      <alignment horizontal="left" indent="1"/>
    </xf>
    <xf numFmtId="167" fontId="28" fillId="2" borderId="33" xfId="11" applyNumberFormat="1" applyFont="1" applyFill="1" applyBorder="1" applyAlignment="1">
      <alignment horizontal="center"/>
    </xf>
    <xf numFmtId="167" fontId="28" fillId="0" borderId="10" xfId="7" applyNumberFormat="1" applyFont="1" applyBorder="1"/>
    <xf numFmtId="167" fontId="28" fillId="2" borderId="10" xfId="11" applyNumberFormat="1" applyFont="1" applyFill="1" applyBorder="1" applyAlignment="1">
      <alignment horizontal="center"/>
    </xf>
    <xf numFmtId="167" fontId="28" fillId="2" borderId="34" xfId="11" applyNumberFormat="1" applyFont="1" applyFill="1" applyBorder="1" applyAlignment="1">
      <alignment horizontal="center"/>
    </xf>
    <xf numFmtId="167" fontId="28" fillId="2" borderId="46" xfId="11" applyNumberFormat="1" applyFont="1" applyFill="1" applyBorder="1" applyAlignment="1">
      <alignment horizontal="left"/>
    </xf>
    <xf numFmtId="167" fontId="28" fillId="2" borderId="10" xfId="11" applyNumberFormat="1" applyFont="1" applyFill="1" applyBorder="1" applyAlignment="1">
      <alignment horizontal="left"/>
    </xf>
    <xf numFmtId="167" fontId="28" fillId="2" borderId="34" xfId="11" applyNumberFormat="1" applyFont="1" applyFill="1" applyBorder="1" applyAlignment="1">
      <alignment horizontal="left"/>
    </xf>
    <xf numFmtId="167" fontId="28" fillId="0" borderId="33" xfId="11" applyNumberFormat="1" applyFont="1" applyFill="1" applyBorder="1" applyAlignment="1">
      <alignment horizontal="center"/>
    </xf>
    <xf numFmtId="167" fontId="28" fillId="0" borderId="10" xfId="11" applyNumberFormat="1" applyFont="1" applyFill="1" applyBorder="1" applyAlignment="1">
      <alignment horizontal="center"/>
    </xf>
    <xf numFmtId="167" fontId="28" fillId="0" borderId="34" xfId="11" applyNumberFormat="1" applyFont="1" applyFill="1" applyBorder="1" applyAlignment="1">
      <alignment horizontal="center"/>
    </xf>
    <xf numFmtId="167" fontId="28" fillId="0" borderId="47" xfId="11" applyNumberFormat="1" applyFont="1" applyFill="1" applyBorder="1" applyAlignment="1">
      <alignment horizontal="left" indent="1"/>
    </xf>
    <xf numFmtId="167" fontId="28" fillId="2" borderId="33" xfId="11" applyNumberFormat="1" applyFont="1" applyFill="1" applyBorder="1"/>
    <xf numFmtId="167" fontId="27" fillId="31" borderId="33" xfId="11" applyNumberFormat="1" applyFont="1" applyFill="1" applyBorder="1" applyAlignment="1">
      <alignment horizontal="left"/>
    </xf>
    <xf numFmtId="167" fontId="27" fillId="31" borderId="45" xfId="11" applyNumberFormat="1" applyFont="1" applyFill="1" applyBorder="1" applyAlignment="1">
      <alignment horizontal="left"/>
    </xf>
    <xf numFmtId="167" fontId="27" fillId="31" borderId="46" xfId="11" applyNumberFormat="1" applyFont="1" applyFill="1" applyBorder="1" applyAlignment="1">
      <alignment horizontal="left"/>
    </xf>
    <xf numFmtId="167" fontId="27" fillId="31" borderId="10" xfId="11" applyNumberFormat="1" applyFont="1" applyFill="1" applyBorder="1" applyAlignment="1">
      <alignment horizontal="left"/>
    </xf>
    <xf numFmtId="167" fontId="27" fillId="31" borderId="34" xfId="11" applyNumberFormat="1" applyFont="1" applyFill="1" applyBorder="1" applyAlignment="1">
      <alignment horizontal="left"/>
    </xf>
    <xf numFmtId="167" fontId="28" fillId="0" borderId="45" xfId="11" applyNumberFormat="1" applyFont="1" applyFill="1" applyBorder="1" applyAlignment="1">
      <alignment horizontal="left" wrapText="1" indent="1"/>
    </xf>
    <xf numFmtId="167" fontId="28" fillId="2" borderId="34" xfId="10" applyNumberFormat="1" applyFont="1" applyFill="1" applyBorder="1" applyAlignment="1"/>
    <xf numFmtId="167" fontId="28" fillId="2" borderId="10" xfId="10" applyNumberFormat="1" applyFont="1" applyFill="1" applyBorder="1" applyAlignment="1"/>
    <xf numFmtId="167" fontId="28" fillId="31" borderId="10" xfId="11" applyNumberFormat="1" applyFont="1" applyFill="1" applyBorder="1" applyAlignment="1">
      <alignment horizontal="left"/>
    </xf>
    <xf numFmtId="167" fontId="28" fillId="0" borderId="45" xfId="11" applyNumberFormat="1" applyFont="1" applyFill="1" applyBorder="1" applyAlignment="1">
      <alignment horizontal="left"/>
    </xf>
    <xf numFmtId="167" fontId="28" fillId="2" borderId="34" xfId="11" applyNumberFormat="1" applyFont="1" applyFill="1" applyBorder="1" applyAlignment="1">
      <alignment horizontal="center" vertical="center"/>
    </xf>
    <xf numFmtId="167" fontId="28" fillId="0" borderId="34" xfId="11" applyNumberFormat="1" applyFont="1" applyFill="1" applyBorder="1" applyAlignment="1">
      <alignment horizontal="center" vertical="center"/>
    </xf>
    <xf numFmtId="167" fontId="28" fillId="0" borderId="33" xfId="11" applyNumberFormat="1" applyFont="1" applyFill="1" applyBorder="1"/>
    <xf numFmtId="166" fontId="27" fillId="31" borderId="10" xfId="13" applyFont="1" applyFill="1" applyBorder="1" applyAlignment="1">
      <alignment horizontal="center"/>
    </xf>
    <xf numFmtId="167" fontId="28" fillId="31" borderId="33" xfId="11" applyNumberFormat="1" applyFont="1" applyFill="1" applyBorder="1" applyAlignment="1">
      <alignment horizontal="left"/>
    </xf>
    <xf numFmtId="167" fontId="27" fillId="0" borderId="33" xfId="11" applyNumberFormat="1" applyFont="1" applyFill="1" applyBorder="1" applyAlignment="1">
      <alignment horizontal="left" indent="1"/>
    </xf>
    <xf numFmtId="167" fontId="28" fillId="0" borderId="46" xfId="11" applyNumberFormat="1" applyFont="1" applyFill="1" applyBorder="1" applyAlignment="1">
      <alignment horizontal="left"/>
    </xf>
    <xf numFmtId="167" fontId="28" fillId="0" borderId="10" xfId="11" applyNumberFormat="1" applyFont="1" applyFill="1" applyBorder="1" applyAlignment="1">
      <alignment horizontal="left"/>
    </xf>
    <xf numFmtId="167" fontId="28" fillId="0" borderId="34" xfId="11" applyNumberFormat="1" applyFont="1" applyFill="1" applyBorder="1" applyAlignment="1">
      <alignment horizontal="left"/>
    </xf>
    <xf numFmtId="167" fontId="28" fillId="0" borderId="33" xfId="11" applyNumberFormat="1" applyFont="1" applyFill="1" applyBorder="1" applyAlignment="1">
      <alignment horizontal="left"/>
    </xf>
    <xf numFmtId="167" fontId="27" fillId="0" borderId="45" xfId="11" applyNumberFormat="1" applyFont="1" applyFill="1" applyBorder="1" applyAlignment="1">
      <alignment horizontal="left"/>
    </xf>
    <xf numFmtId="166" fontId="27" fillId="0" borderId="10" xfId="13" applyFont="1" applyFill="1" applyBorder="1" applyAlignment="1">
      <alignment horizontal="center" wrapText="1"/>
    </xf>
    <xf numFmtId="167" fontId="28" fillId="32" borderId="33" xfId="11" applyNumberFormat="1" applyFont="1" applyFill="1" applyBorder="1" applyAlignment="1">
      <alignment horizontal="left" vertical="center"/>
    </xf>
    <xf numFmtId="167" fontId="27" fillId="32" borderId="45" xfId="11" applyNumberFormat="1" applyFont="1" applyFill="1" applyBorder="1" applyAlignment="1">
      <alignment horizontal="right" vertical="center"/>
    </xf>
    <xf numFmtId="167" fontId="27" fillId="32" borderId="33" xfId="11" applyNumberFormat="1" applyFont="1" applyFill="1" applyBorder="1" applyAlignment="1">
      <alignment horizontal="right" vertical="center"/>
    </xf>
    <xf numFmtId="167" fontId="27" fillId="32" borderId="10" xfId="11" applyNumberFormat="1" applyFont="1" applyFill="1" applyBorder="1" applyAlignment="1">
      <alignment horizontal="right" vertical="center"/>
    </xf>
    <xf numFmtId="167" fontId="27" fillId="32" borderId="48" xfId="11" applyNumberFormat="1" applyFont="1" applyFill="1" applyBorder="1" applyAlignment="1">
      <alignment horizontal="right" vertical="center"/>
    </xf>
    <xf numFmtId="166" fontId="27" fillId="32" borderId="10" xfId="13" applyFont="1" applyFill="1" applyBorder="1" applyAlignment="1">
      <alignment horizontal="left" vertical="center"/>
    </xf>
    <xf numFmtId="167" fontId="27" fillId="32" borderId="34" xfId="11" applyNumberFormat="1" applyFont="1" applyFill="1" applyBorder="1" applyAlignment="1">
      <alignment horizontal="right" vertical="center"/>
    </xf>
    <xf numFmtId="167" fontId="28" fillId="31" borderId="46" xfId="11" applyNumberFormat="1" applyFont="1" applyFill="1" applyBorder="1" applyAlignment="1">
      <alignment horizontal="left"/>
    </xf>
    <xf numFmtId="166" fontId="27" fillId="31" borderId="10" xfId="13" applyFont="1" applyFill="1" applyBorder="1" applyAlignment="1">
      <alignment horizontal="left"/>
    </xf>
    <xf numFmtId="167" fontId="28" fillId="31" borderId="34" xfId="11" applyNumberFormat="1" applyFont="1" applyFill="1" applyBorder="1" applyAlignment="1">
      <alignment horizontal="left"/>
    </xf>
    <xf numFmtId="167" fontId="27" fillId="0" borderId="33" xfId="11" applyNumberFormat="1" applyFont="1" applyFill="1" applyBorder="1" applyAlignment="1">
      <alignment horizontal="center"/>
    </xf>
    <xf numFmtId="167" fontId="27" fillId="0" borderId="10" xfId="11" applyNumberFormat="1" applyFont="1" applyFill="1" applyBorder="1" applyAlignment="1">
      <alignment horizontal="center"/>
    </xf>
    <xf numFmtId="167" fontId="27" fillId="0" borderId="34" xfId="11" applyNumberFormat="1" applyFont="1" applyFill="1" applyBorder="1" applyAlignment="1">
      <alignment horizontal="center"/>
    </xf>
    <xf numFmtId="167" fontId="28" fillId="0" borderId="45" xfId="11" applyNumberFormat="1" applyFont="1" applyFill="1" applyBorder="1" applyAlignment="1">
      <alignment horizontal="center"/>
    </xf>
    <xf numFmtId="167" fontId="28" fillId="0" borderId="48" xfId="11" applyNumberFormat="1" applyFont="1" applyFill="1" applyBorder="1" applyAlignment="1">
      <alignment horizontal="left"/>
    </xf>
    <xf numFmtId="166" fontId="27" fillId="0" borderId="10" xfId="13" applyFont="1" applyFill="1" applyBorder="1" applyAlignment="1">
      <alignment horizontal="left"/>
    </xf>
    <xf numFmtId="0" fontId="7" fillId="0" borderId="0" xfId="6" applyFont="1" applyFill="1"/>
    <xf numFmtId="167" fontId="28" fillId="2" borderId="33" xfId="11" applyNumberFormat="1" applyFont="1" applyFill="1" applyBorder="1" applyAlignment="1">
      <alignment horizontal="right" vertical="center"/>
    </xf>
    <xf numFmtId="167" fontId="27" fillId="2" borderId="45" xfId="11" applyNumberFormat="1" applyFont="1" applyFill="1" applyBorder="1" applyAlignment="1">
      <alignment horizontal="right" vertical="center" wrapText="1"/>
    </xf>
    <xf numFmtId="0" fontId="7" fillId="0" borderId="33" xfId="6" applyFont="1" applyBorder="1"/>
    <xf numFmtId="0" fontId="7" fillId="0" borderId="10" xfId="6" applyFont="1" applyBorder="1"/>
    <xf numFmtId="0" fontId="7" fillId="0" borderId="34" xfId="6" applyFont="1" applyBorder="1"/>
    <xf numFmtId="0" fontId="28" fillId="0" borderId="10" xfId="6" applyFont="1" applyBorder="1"/>
    <xf numFmtId="0" fontId="28" fillId="0" borderId="34" xfId="6" applyFont="1" applyBorder="1"/>
    <xf numFmtId="167" fontId="27" fillId="0" borderId="45" xfId="11" applyNumberFormat="1" applyFont="1" applyFill="1" applyBorder="1"/>
    <xf numFmtId="167" fontId="27" fillId="0" borderId="46" xfId="11" applyNumberFormat="1" applyFont="1" applyFill="1" applyBorder="1" applyAlignment="1">
      <alignment horizontal="left"/>
    </xf>
    <xf numFmtId="167" fontId="27" fillId="0" borderId="10" xfId="11" applyNumberFormat="1" applyFont="1" applyFill="1" applyBorder="1" applyAlignment="1">
      <alignment horizontal="left"/>
    </xf>
    <xf numFmtId="167" fontId="27" fillId="0" borderId="34" xfId="11" applyNumberFormat="1" applyFont="1" applyFill="1" applyBorder="1" applyAlignment="1">
      <alignment horizontal="left"/>
    </xf>
    <xf numFmtId="167" fontId="28" fillId="32" borderId="35" xfId="11" applyNumberFormat="1" applyFont="1" applyFill="1" applyBorder="1" applyAlignment="1">
      <alignment horizontal="left" vertical="center"/>
    </xf>
    <xf numFmtId="167" fontId="27" fillId="32" borderId="49" xfId="11" applyNumberFormat="1" applyFont="1" applyFill="1" applyBorder="1" applyAlignment="1">
      <alignment horizontal="right" vertical="center"/>
    </xf>
    <xf numFmtId="167" fontId="27" fillId="32" borderId="35" xfId="11" applyNumberFormat="1" applyFont="1" applyFill="1" applyBorder="1" applyAlignment="1">
      <alignment horizontal="right" vertical="center"/>
    </xf>
    <xf numFmtId="167" fontId="27" fillId="32" borderId="36" xfId="11" applyNumberFormat="1" applyFont="1" applyFill="1" applyBorder="1" applyAlignment="1">
      <alignment horizontal="right" vertical="center"/>
    </xf>
    <xf numFmtId="167" fontId="27" fillId="32" borderId="37" xfId="11" applyNumberFormat="1" applyFont="1" applyFill="1" applyBorder="1" applyAlignment="1">
      <alignment horizontal="right" vertical="center"/>
    </xf>
    <xf numFmtId="167" fontId="27" fillId="32" borderId="50" xfId="11" applyNumberFormat="1" applyFont="1" applyFill="1" applyBorder="1" applyAlignment="1">
      <alignment horizontal="right" vertical="center"/>
    </xf>
    <xf numFmtId="0" fontId="28" fillId="0" borderId="0" xfId="6" applyFont="1"/>
    <xf numFmtId="167" fontId="28" fillId="0" borderId="38" xfId="11" applyNumberFormat="1" applyFont="1" applyFill="1" applyBorder="1" applyAlignment="1">
      <alignment horizontal="left" indent="1"/>
    </xf>
    <xf numFmtId="167" fontId="27" fillId="31" borderId="51" xfId="11" applyNumberFormat="1" applyFont="1" applyFill="1" applyBorder="1" applyAlignment="1">
      <alignment horizontal="left"/>
    </xf>
    <xf numFmtId="167" fontId="27" fillId="31" borderId="38" xfId="11" applyNumberFormat="1" applyFont="1" applyFill="1" applyBorder="1" applyAlignment="1">
      <alignment horizontal="center"/>
    </xf>
    <xf numFmtId="167" fontId="27" fillId="31" borderId="39" xfId="11" applyNumberFormat="1" applyFont="1" applyFill="1" applyBorder="1" applyAlignment="1">
      <alignment horizontal="center"/>
    </xf>
    <xf numFmtId="167" fontId="27" fillId="31" borderId="40" xfId="11" applyNumberFormat="1" applyFont="1" applyFill="1" applyBorder="1" applyAlignment="1">
      <alignment horizontal="center"/>
    </xf>
    <xf numFmtId="167" fontId="27" fillId="31" borderId="52" xfId="11" applyNumberFormat="1" applyFont="1" applyFill="1" applyBorder="1" applyAlignment="1">
      <alignment horizontal="left"/>
    </xf>
    <xf numFmtId="167" fontId="27" fillId="31" borderId="39" xfId="11" applyNumberFormat="1" applyFont="1" applyFill="1" applyBorder="1" applyAlignment="1">
      <alignment horizontal="left"/>
    </xf>
    <xf numFmtId="166" fontId="27" fillId="31" borderId="39" xfId="13" applyFont="1" applyFill="1" applyBorder="1" applyAlignment="1">
      <alignment horizontal="center"/>
    </xf>
    <xf numFmtId="167" fontId="27" fillId="31" borderId="40" xfId="11" applyNumberFormat="1" applyFont="1" applyFill="1" applyBorder="1" applyAlignment="1">
      <alignment horizontal="left"/>
    </xf>
    <xf numFmtId="167" fontId="27" fillId="0" borderId="35" xfId="11" applyNumberFormat="1" applyFont="1" applyFill="1" applyBorder="1" applyAlignment="1">
      <alignment horizontal="left" indent="1"/>
    </xf>
    <xf numFmtId="167" fontId="28" fillId="0" borderId="49" xfId="11" applyNumberFormat="1" applyFont="1" applyFill="1" applyBorder="1" applyAlignment="1">
      <alignment horizontal="left" wrapText="1" indent="1"/>
    </xf>
    <xf numFmtId="167" fontId="28" fillId="2" borderId="35" xfId="11" applyNumberFormat="1" applyFont="1" applyFill="1" applyBorder="1" applyAlignment="1">
      <alignment horizontal="center"/>
    </xf>
    <xf numFmtId="167" fontId="28" fillId="0" borderId="36" xfId="11" applyNumberFormat="1" applyFont="1" applyFill="1" applyBorder="1" applyAlignment="1">
      <alignment horizontal="center"/>
    </xf>
    <xf numFmtId="167" fontId="28" fillId="0" borderId="37" xfId="11" applyNumberFormat="1" applyFont="1" applyFill="1" applyBorder="1" applyAlignment="1">
      <alignment horizontal="center"/>
    </xf>
    <xf numFmtId="167" fontId="28" fillId="2" borderId="36" xfId="11" applyNumberFormat="1" applyFont="1" applyFill="1" applyBorder="1" applyAlignment="1">
      <alignment horizontal="center"/>
    </xf>
    <xf numFmtId="167" fontId="28" fillId="2" borderId="37" xfId="11" applyNumberFormat="1" applyFont="1" applyFill="1" applyBorder="1" applyAlignment="1">
      <alignment horizontal="center"/>
    </xf>
    <xf numFmtId="167" fontId="28" fillId="0" borderId="53" xfId="11" applyNumberFormat="1" applyFont="1" applyFill="1" applyBorder="1" applyAlignment="1">
      <alignment horizontal="left"/>
    </xf>
    <xf numFmtId="167" fontId="28" fillId="0" borderId="36" xfId="11" applyNumberFormat="1" applyFont="1" applyFill="1" applyBorder="1" applyAlignment="1">
      <alignment horizontal="left"/>
    </xf>
    <xf numFmtId="167" fontId="28" fillId="0" borderId="37" xfId="11" applyNumberFormat="1" applyFont="1" applyFill="1" applyBorder="1" applyAlignment="1">
      <alignment horizontal="left"/>
    </xf>
    <xf numFmtId="167" fontId="28" fillId="0" borderId="0" xfId="6" applyNumberFormat="1" applyFont="1"/>
    <xf numFmtId="165" fontId="28" fillId="0" borderId="0" xfId="6" applyNumberFormat="1" applyFont="1"/>
    <xf numFmtId="167" fontId="7" fillId="0" borderId="0" xfId="6" applyNumberFormat="1" applyFont="1"/>
    <xf numFmtId="0" fontId="28" fillId="2" borderId="54" xfId="10" applyFont="1" applyFill="1" applyBorder="1"/>
    <xf numFmtId="0" fontId="28" fillId="2" borderId="0" xfId="10" applyFont="1" applyFill="1" applyBorder="1"/>
    <xf numFmtId="168" fontId="29" fillId="2" borderId="55" xfId="14" applyNumberFormat="1" applyFont="1" applyFill="1" applyBorder="1"/>
    <xf numFmtId="168" fontId="29" fillId="2" borderId="56" xfId="14" applyNumberFormat="1" applyFont="1" applyFill="1" applyBorder="1"/>
    <xf numFmtId="168" fontId="29" fillId="2" borderId="56" xfId="15" applyNumberFormat="1" applyFont="1" applyFill="1" applyBorder="1"/>
    <xf numFmtId="10" fontId="29" fillId="2" borderId="56" xfId="16" applyNumberFormat="1" applyFont="1" applyFill="1" applyBorder="1" applyAlignment="1">
      <alignment horizontal="right"/>
    </xf>
    <xf numFmtId="166" fontId="29" fillId="2" borderId="56" xfId="15" applyFont="1" applyFill="1" applyBorder="1"/>
    <xf numFmtId="0" fontId="28" fillId="2" borderId="56" xfId="10" applyFont="1" applyFill="1" applyBorder="1"/>
    <xf numFmtId="0" fontId="28" fillId="2" borderId="57" xfId="10" applyFont="1" applyFill="1" applyBorder="1"/>
    <xf numFmtId="0" fontId="27" fillId="0" borderId="0" xfId="10" applyFont="1" applyFill="1" applyBorder="1"/>
    <xf numFmtId="0" fontId="28" fillId="2" borderId="9" xfId="10" applyFont="1" applyFill="1" applyBorder="1"/>
    <xf numFmtId="168" fontId="29" fillId="2" borderId="0" xfId="14" applyNumberFormat="1" applyFont="1" applyFill="1" applyBorder="1"/>
    <xf numFmtId="168" fontId="29" fillId="2" borderId="0" xfId="15" applyNumberFormat="1" applyFont="1" applyFill="1" applyBorder="1"/>
    <xf numFmtId="10" fontId="29" fillId="2" borderId="0" xfId="16" applyNumberFormat="1" applyFont="1" applyFill="1" applyBorder="1" applyAlignment="1">
      <alignment horizontal="right"/>
    </xf>
    <xf numFmtId="166" fontId="29" fillId="2" borderId="0" xfId="15" applyFont="1" applyFill="1" applyBorder="1"/>
    <xf numFmtId="0" fontId="32" fillId="0" borderId="0" xfId="9" applyFont="1" applyBorder="1"/>
    <xf numFmtId="10" fontId="29" fillId="2" borderId="17" xfId="16" applyNumberFormat="1" applyFont="1" applyFill="1" applyBorder="1" applyAlignment="1">
      <alignment horizontal="right"/>
    </xf>
    <xf numFmtId="168" fontId="29" fillId="2" borderId="17" xfId="15" applyNumberFormat="1" applyFont="1" applyFill="1" applyBorder="1"/>
    <xf numFmtId="166" fontId="29" fillId="2" borderId="16" xfId="15" applyFont="1" applyFill="1" applyBorder="1"/>
    <xf numFmtId="166" fontId="29" fillId="2" borderId="18" xfId="15" applyFont="1" applyFill="1" applyBorder="1"/>
    <xf numFmtId="0" fontId="28" fillId="2" borderId="0" xfId="10" applyFont="1" applyFill="1" applyBorder="1" applyAlignment="1">
      <alignment horizontal="center" vertical="center"/>
    </xf>
    <xf numFmtId="0" fontId="27" fillId="0" borderId="38" xfId="10" applyFont="1" applyFill="1" applyBorder="1" applyAlignment="1">
      <alignment horizontal="center" vertical="center" wrapText="1"/>
    </xf>
    <xf numFmtId="0" fontId="27" fillId="2" borderId="51" xfId="12" applyFont="1" applyFill="1" applyBorder="1" applyAlignment="1" applyProtection="1">
      <alignment horizontal="center" vertical="center" wrapText="1"/>
    </xf>
    <xf numFmtId="171" fontId="27" fillId="0" borderId="38" xfId="14" applyNumberFormat="1" applyFont="1" applyFill="1" applyBorder="1" applyAlignment="1" applyProtection="1">
      <alignment horizontal="center" vertical="center" wrapText="1"/>
      <protection locked="0"/>
    </xf>
    <xf numFmtId="171" fontId="27" fillId="0" borderId="39" xfId="14" applyNumberFormat="1" applyFont="1" applyFill="1" applyBorder="1" applyAlignment="1" applyProtection="1">
      <alignment horizontal="center" vertical="center" wrapText="1"/>
      <protection locked="0"/>
    </xf>
    <xf numFmtId="171" fontId="27" fillId="2" borderId="39" xfId="14" applyNumberFormat="1" applyFont="1" applyFill="1" applyBorder="1" applyAlignment="1" applyProtection="1">
      <alignment horizontal="center" vertical="center" wrapText="1"/>
      <protection locked="0"/>
    </xf>
    <xf numFmtId="10" fontId="27" fillId="2" borderId="40" xfId="16" applyNumberFormat="1" applyFont="1" applyFill="1" applyBorder="1" applyAlignment="1" applyProtection="1">
      <alignment horizontal="center" vertical="center" wrapText="1"/>
      <protection locked="0"/>
    </xf>
    <xf numFmtId="171" fontId="27" fillId="0" borderId="40" xfId="15" applyNumberFormat="1" applyFont="1" applyFill="1" applyBorder="1" applyAlignment="1" applyProtection="1">
      <alignment horizontal="center" vertical="center" wrapText="1"/>
      <protection locked="0"/>
    </xf>
    <xf numFmtId="171" fontId="27" fillId="0" borderId="38" xfId="15" applyNumberFormat="1" applyFont="1" applyFill="1" applyBorder="1" applyAlignment="1" applyProtection="1">
      <alignment horizontal="center" vertical="center" wrapText="1"/>
      <protection locked="0"/>
    </xf>
    <xf numFmtId="171" fontId="27" fillId="0" borderId="40" xfId="14" applyNumberFormat="1" applyFont="1" applyFill="1" applyBorder="1" applyAlignment="1" applyProtection="1">
      <alignment horizontal="center" vertical="center" wrapText="1"/>
      <protection locked="0"/>
    </xf>
    <xf numFmtId="0" fontId="27" fillId="2" borderId="63" xfId="10" applyFont="1" applyFill="1" applyBorder="1" applyAlignment="1">
      <alignment horizontal="center" vertical="center" wrapText="1"/>
    </xf>
    <xf numFmtId="0" fontId="27" fillId="2" borderId="64" xfId="10" applyFont="1" applyFill="1" applyBorder="1" applyAlignment="1">
      <alignment horizontal="center" vertical="center" wrapText="1"/>
    </xf>
    <xf numFmtId="0" fontId="28" fillId="2" borderId="57" xfId="10" applyFont="1" applyFill="1" applyBorder="1" applyAlignment="1">
      <alignment horizontal="center" vertical="center"/>
    </xf>
    <xf numFmtId="168" fontId="27" fillId="31" borderId="33" xfId="8" applyNumberFormat="1" applyFont="1" applyFill="1" applyBorder="1" applyAlignment="1">
      <alignment horizontal="right"/>
    </xf>
    <xf numFmtId="168" fontId="27" fillId="31" borderId="10" xfId="8" applyNumberFormat="1" applyFont="1" applyFill="1" applyBorder="1" applyAlignment="1">
      <alignment horizontal="right"/>
    </xf>
    <xf numFmtId="10" fontId="27" fillId="31" borderId="34" xfId="18" applyNumberFormat="1" applyFont="1" applyFill="1" applyBorder="1" applyAlignment="1">
      <alignment horizontal="right"/>
    </xf>
    <xf numFmtId="166" fontId="27" fillId="31" borderId="33" xfId="8" applyFont="1" applyFill="1" applyBorder="1" applyAlignment="1">
      <alignment horizontal="right"/>
    </xf>
    <xf numFmtId="166" fontId="27" fillId="31" borderId="10" xfId="8" applyFont="1" applyFill="1" applyBorder="1" applyAlignment="1">
      <alignment horizontal="right"/>
    </xf>
    <xf numFmtId="166" fontId="27" fillId="31" borderId="34" xfId="8" applyFont="1" applyFill="1" applyBorder="1" applyAlignment="1">
      <alignment horizontal="right"/>
    </xf>
    <xf numFmtId="166" fontId="27" fillId="31" borderId="33" xfId="8" applyNumberFormat="1" applyFont="1" applyFill="1" applyBorder="1" applyAlignment="1">
      <alignment horizontal="right"/>
    </xf>
    <xf numFmtId="166" fontId="27" fillId="31" borderId="34" xfId="8" applyNumberFormat="1" applyFont="1" applyFill="1" applyBorder="1" applyAlignment="1">
      <alignment horizontal="right"/>
    </xf>
    <xf numFmtId="168" fontId="28" fillId="2" borderId="33" xfId="8" applyNumberFormat="1" applyFont="1" applyFill="1" applyBorder="1" applyAlignment="1">
      <alignment horizontal="right"/>
    </xf>
    <xf numFmtId="168" fontId="28" fillId="2" borderId="10" xfId="8" applyNumberFormat="1" applyFont="1" applyFill="1" applyBorder="1" applyAlignment="1">
      <alignment horizontal="right"/>
    </xf>
    <xf numFmtId="10" fontId="28" fillId="2" borderId="34" xfId="18" applyNumberFormat="1" applyFont="1" applyFill="1" applyBorder="1" applyAlignment="1">
      <alignment horizontal="right"/>
    </xf>
    <xf numFmtId="166" fontId="28" fillId="2" borderId="33" xfId="8" applyFont="1" applyFill="1" applyBorder="1" applyAlignment="1">
      <alignment horizontal="right"/>
    </xf>
    <xf numFmtId="166" fontId="28" fillId="2" borderId="10" xfId="8" applyFont="1" applyFill="1" applyBorder="1" applyAlignment="1">
      <alignment horizontal="right"/>
    </xf>
    <xf numFmtId="166" fontId="28" fillId="2" borderId="34" xfId="8" applyFont="1" applyFill="1" applyBorder="1" applyAlignment="1">
      <alignment horizontal="right"/>
    </xf>
    <xf numFmtId="166" fontId="28" fillId="2" borderId="33" xfId="8" applyNumberFormat="1" applyFont="1" applyFill="1" applyBorder="1" applyAlignment="1">
      <alignment horizontal="right"/>
    </xf>
    <xf numFmtId="166" fontId="28" fillId="2" borderId="34" xfId="8" applyNumberFormat="1" applyFont="1" applyFill="1" applyBorder="1" applyAlignment="1">
      <alignment horizontal="right"/>
    </xf>
    <xf numFmtId="166" fontId="28" fillId="31" borderId="33" xfId="8" applyFont="1" applyFill="1" applyBorder="1" applyAlignment="1">
      <alignment horizontal="right"/>
    </xf>
    <xf numFmtId="166" fontId="28" fillId="31" borderId="10" xfId="8" applyFont="1" applyFill="1" applyBorder="1" applyAlignment="1">
      <alignment horizontal="right"/>
    </xf>
    <xf numFmtId="166" fontId="28" fillId="31" borderId="34" xfId="8" applyFont="1" applyFill="1" applyBorder="1" applyAlignment="1">
      <alignment horizontal="right"/>
    </xf>
    <xf numFmtId="166" fontId="28" fillId="31" borderId="33" xfId="8" applyNumberFormat="1" applyFont="1" applyFill="1" applyBorder="1" applyAlignment="1">
      <alignment horizontal="right"/>
    </xf>
    <xf numFmtId="166" fontId="28" fillId="31" borderId="34" xfId="8" applyNumberFormat="1" applyFont="1" applyFill="1" applyBorder="1" applyAlignment="1">
      <alignment horizontal="right"/>
    </xf>
    <xf numFmtId="0" fontId="27" fillId="2" borderId="57" xfId="10" applyFont="1" applyFill="1" applyBorder="1"/>
    <xf numFmtId="168" fontId="28" fillId="2" borderId="33" xfId="8" applyNumberFormat="1" applyFont="1" applyFill="1" applyBorder="1" applyAlignment="1">
      <alignment horizontal="right" vertical="center"/>
    </xf>
    <xf numFmtId="168" fontId="28" fillId="2" borderId="10" xfId="8" applyNumberFormat="1" applyFont="1" applyFill="1" applyBorder="1" applyAlignment="1">
      <alignment horizontal="right" vertical="center"/>
    </xf>
    <xf numFmtId="166" fontId="28" fillId="2" borderId="33" xfId="8" applyFont="1" applyFill="1" applyBorder="1" applyAlignment="1">
      <alignment horizontal="right" vertical="center"/>
    </xf>
    <xf numFmtId="166" fontId="28" fillId="2" borderId="10" xfId="8" applyFont="1" applyFill="1" applyBorder="1" applyAlignment="1">
      <alignment horizontal="right" vertical="center"/>
    </xf>
    <xf numFmtId="166" fontId="28" fillId="2" borderId="34" xfId="8" applyFont="1" applyFill="1" applyBorder="1" applyAlignment="1">
      <alignment horizontal="right" vertical="center"/>
    </xf>
    <xf numFmtId="168" fontId="28" fillId="0" borderId="33" xfId="8" applyNumberFormat="1" applyFont="1" applyFill="1" applyBorder="1" applyAlignment="1">
      <alignment horizontal="right" vertical="center"/>
    </xf>
    <xf numFmtId="168" fontId="28" fillId="0" borderId="10" xfId="8" applyNumberFormat="1" applyFont="1" applyFill="1" applyBorder="1" applyAlignment="1">
      <alignment horizontal="right" vertical="center"/>
    </xf>
    <xf numFmtId="166" fontId="28" fillId="0" borderId="33" xfId="8" applyFont="1" applyFill="1" applyBorder="1" applyAlignment="1">
      <alignment horizontal="right" vertical="center"/>
    </xf>
    <xf numFmtId="166" fontId="28" fillId="0" borderId="10" xfId="8" applyFont="1" applyFill="1" applyBorder="1" applyAlignment="1">
      <alignment horizontal="right" vertical="center"/>
    </xf>
    <xf numFmtId="166" fontId="28" fillId="0" borderId="34" xfId="8" applyFont="1" applyFill="1" applyBorder="1" applyAlignment="1">
      <alignment horizontal="right" vertical="center"/>
    </xf>
    <xf numFmtId="168" fontId="28" fillId="0" borderId="33" xfId="8" applyNumberFormat="1" applyFont="1" applyFill="1" applyBorder="1" applyAlignment="1">
      <alignment horizontal="right"/>
    </xf>
    <xf numFmtId="168" fontId="28" fillId="0" borderId="10" xfId="8" applyNumberFormat="1" applyFont="1" applyFill="1" applyBorder="1" applyAlignment="1">
      <alignment horizontal="right"/>
    </xf>
    <xf numFmtId="166" fontId="28" fillId="0" borderId="33" xfId="8" applyFont="1" applyFill="1" applyBorder="1" applyAlignment="1">
      <alignment horizontal="right"/>
    </xf>
    <xf numFmtId="166" fontId="28" fillId="0" borderId="10" xfId="8" applyFont="1" applyFill="1" applyBorder="1" applyAlignment="1">
      <alignment horizontal="right"/>
    </xf>
    <xf numFmtId="166" fontId="28" fillId="0" borderId="34" xfId="8" applyFont="1" applyFill="1" applyBorder="1" applyAlignment="1">
      <alignment horizontal="right"/>
    </xf>
    <xf numFmtId="0" fontId="28" fillId="2" borderId="65" xfId="10" applyFont="1" applyFill="1" applyBorder="1"/>
    <xf numFmtId="166" fontId="28" fillId="0" borderId="33" xfId="8" applyNumberFormat="1" applyFont="1" applyFill="1" applyBorder="1" applyAlignment="1">
      <alignment horizontal="right"/>
    </xf>
    <xf numFmtId="166" fontId="28" fillId="0" borderId="34" xfId="8" applyNumberFormat="1" applyFont="1" applyFill="1" applyBorder="1" applyAlignment="1">
      <alignment horizontal="right"/>
    </xf>
    <xf numFmtId="0" fontId="28" fillId="0" borderId="33" xfId="11" applyNumberFormat="1" applyFont="1" applyFill="1" applyBorder="1" applyAlignment="1">
      <alignment horizontal="right"/>
    </xf>
    <xf numFmtId="0" fontId="28" fillId="0" borderId="34" xfId="11" applyNumberFormat="1" applyFont="1" applyFill="1" applyBorder="1" applyAlignment="1">
      <alignment horizontal="right"/>
    </xf>
    <xf numFmtId="0" fontId="28" fillId="0" borderId="10" xfId="11" applyNumberFormat="1" applyFont="1" applyFill="1" applyBorder="1" applyAlignment="1">
      <alignment horizontal="right"/>
    </xf>
    <xf numFmtId="10" fontId="28" fillId="0" borderId="34" xfId="18" applyNumberFormat="1" applyFont="1" applyFill="1" applyBorder="1" applyAlignment="1">
      <alignment horizontal="right"/>
    </xf>
    <xf numFmtId="168" fontId="27" fillId="32" borderId="33" xfId="8" applyNumberFormat="1" applyFont="1" applyFill="1" applyBorder="1" applyAlignment="1">
      <alignment horizontal="right" vertical="center"/>
    </xf>
    <xf numFmtId="166" fontId="27" fillId="32" borderId="33" xfId="8" applyFont="1" applyFill="1" applyBorder="1" applyAlignment="1">
      <alignment horizontal="right" vertical="center"/>
    </xf>
    <xf numFmtId="166" fontId="27" fillId="32" borderId="10" xfId="8" applyFont="1" applyFill="1" applyBorder="1" applyAlignment="1">
      <alignment horizontal="right" vertical="center"/>
    </xf>
    <xf numFmtId="166" fontId="27" fillId="32" borderId="34" xfId="8" applyFont="1" applyFill="1" applyBorder="1" applyAlignment="1">
      <alignment horizontal="right" vertical="center"/>
    </xf>
    <xf numFmtId="166" fontId="27" fillId="32" borderId="33" xfId="8" applyNumberFormat="1" applyFont="1" applyFill="1" applyBorder="1" applyAlignment="1">
      <alignment horizontal="right" vertical="center"/>
    </xf>
    <xf numFmtId="166" fontId="27" fillId="32" borderId="34" xfId="8" applyNumberFormat="1" applyFont="1" applyFill="1" applyBorder="1" applyAlignment="1">
      <alignment horizontal="right" vertical="center"/>
    </xf>
    <xf numFmtId="168" fontId="35" fillId="0" borderId="33" xfId="8" applyNumberFormat="1" applyFont="1" applyBorder="1" applyAlignment="1">
      <alignment horizontal="right"/>
    </xf>
    <xf numFmtId="168" fontId="35" fillId="0" borderId="10" xfId="8" applyNumberFormat="1" applyFont="1" applyBorder="1" applyAlignment="1">
      <alignment horizontal="right"/>
    </xf>
    <xf numFmtId="10" fontId="35" fillId="0" borderId="34" xfId="18" applyNumberFormat="1" applyFont="1" applyBorder="1" applyAlignment="1">
      <alignment horizontal="right"/>
    </xf>
    <xf numFmtId="166" fontId="35" fillId="0" borderId="33" xfId="8" applyFont="1" applyBorder="1" applyAlignment="1">
      <alignment horizontal="right"/>
    </xf>
    <xf numFmtId="166" fontId="35" fillId="0" borderId="10" xfId="8" applyFont="1" applyBorder="1" applyAlignment="1">
      <alignment horizontal="right"/>
    </xf>
    <xf numFmtId="166" fontId="35" fillId="0" borderId="34" xfId="8" applyFont="1" applyBorder="1" applyAlignment="1">
      <alignment horizontal="right"/>
    </xf>
    <xf numFmtId="166" fontId="35" fillId="0" borderId="33" xfId="8" applyNumberFormat="1" applyFont="1" applyBorder="1" applyAlignment="1">
      <alignment horizontal="right"/>
    </xf>
    <xf numFmtId="166" fontId="35" fillId="0" borderId="34" xfId="8" applyNumberFormat="1" applyFont="1" applyBorder="1" applyAlignment="1">
      <alignment horizontal="right"/>
    </xf>
    <xf numFmtId="168" fontId="27" fillId="32" borderId="35" xfId="8" applyNumberFormat="1" applyFont="1" applyFill="1" applyBorder="1" applyAlignment="1">
      <alignment horizontal="right" vertical="center"/>
    </xf>
    <xf numFmtId="10" fontId="27" fillId="32" borderId="37" xfId="18" applyNumberFormat="1" applyFont="1" applyFill="1" applyBorder="1" applyAlignment="1">
      <alignment horizontal="right" vertical="center"/>
    </xf>
    <xf numFmtId="166" fontId="27" fillId="32" borderId="35" xfId="8" applyFont="1" applyFill="1" applyBorder="1" applyAlignment="1">
      <alignment horizontal="right" vertical="center"/>
    </xf>
    <xf numFmtId="166" fontId="27" fillId="32" borderId="36" xfId="8" applyFont="1" applyFill="1" applyBorder="1" applyAlignment="1">
      <alignment horizontal="right" vertical="center"/>
    </xf>
    <xf numFmtId="166" fontId="27" fillId="32" borderId="37" xfId="8" applyFont="1" applyFill="1" applyBorder="1" applyAlignment="1">
      <alignment horizontal="right" vertical="center"/>
    </xf>
    <xf numFmtId="166" fontId="27" fillId="32" borderId="35" xfId="8" applyNumberFormat="1" applyFont="1" applyFill="1" applyBorder="1" applyAlignment="1">
      <alignment horizontal="right" vertical="center"/>
    </xf>
    <xf numFmtId="166" fontId="27" fillId="32" borderId="37" xfId="8" applyNumberFormat="1" applyFont="1" applyFill="1" applyBorder="1" applyAlignment="1">
      <alignment horizontal="right" vertical="center"/>
    </xf>
    <xf numFmtId="166" fontId="27" fillId="32" borderId="36" xfId="8" applyNumberFormat="1" applyFont="1" applyFill="1" applyBorder="1" applyAlignment="1">
      <alignment horizontal="right" vertical="center"/>
    </xf>
    <xf numFmtId="0" fontId="27" fillId="2" borderId="66" xfId="10" applyFont="1" applyFill="1" applyBorder="1"/>
    <xf numFmtId="0" fontId="28" fillId="2" borderId="66" xfId="10" applyFont="1" applyFill="1" applyBorder="1"/>
    <xf numFmtId="168" fontId="29" fillId="2" borderId="66" xfId="14" applyNumberFormat="1" applyFont="1" applyFill="1" applyBorder="1"/>
    <xf numFmtId="168" fontId="29" fillId="2" borderId="66" xfId="15" applyNumberFormat="1" applyFont="1" applyFill="1" applyBorder="1"/>
    <xf numFmtId="10" fontId="29" fillId="2" borderId="66" xfId="16" applyNumberFormat="1" applyFont="1" applyFill="1" applyBorder="1" applyAlignment="1">
      <alignment horizontal="right"/>
    </xf>
    <xf numFmtId="166" fontId="29" fillId="2" borderId="66" xfId="15" applyFont="1" applyFill="1" applyBorder="1"/>
    <xf numFmtId="168" fontId="29" fillId="2" borderId="57" xfId="14" applyNumberFormat="1" applyFont="1" applyFill="1" applyBorder="1"/>
    <xf numFmtId="168" fontId="29" fillId="2" borderId="57" xfId="15" applyNumberFormat="1" applyFont="1" applyFill="1" applyBorder="1"/>
    <xf numFmtId="10" fontId="29" fillId="2" borderId="57" xfId="16" applyNumberFormat="1" applyFont="1" applyFill="1" applyBorder="1" applyAlignment="1">
      <alignment horizontal="right"/>
    </xf>
    <xf numFmtId="166" fontId="29" fillId="2" borderId="57" xfId="15" applyFont="1" applyFill="1" applyBorder="1"/>
    <xf numFmtId="167" fontId="28" fillId="33" borderId="33" xfId="11" applyNumberFormat="1" applyFont="1" applyFill="1" applyBorder="1" applyAlignment="1">
      <alignment horizontal="left" indent="1"/>
    </xf>
    <xf numFmtId="167" fontId="28" fillId="2" borderId="33" xfId="11" applyNumberFormat="1" applyFont="1" applyFill="1" applyBorder="1" applyAlignment="1">
      <alignment horizontal="left" indent="1"/>
    </xf>
    <xf numFmtId="167" fontId="28" fillId="31" borderId="33" xfId="11" applyNumberFormat="1" applyFont="1" applyFill="1" applyBorder="1" applyAlignment="1">
      <alignment horizontal="left" indent="1"/>
    </xf>
    <xf numFmtId="167" fontId="28" fillId="34" borderId="33" xfId="11" applyNumberFormat="1" applyFont="1" applyFill="1" applyBorder="1" applyAlignment="1">
      <alignment horizontal="left" indent="1"/>
    </xf>
    <xf numFmtId="167" fontId="28" fillId="35" borderId="33" xfId="11" applyNumberFormat="1" applyFont="1" applyFill="1" applyBorder="1" applyAlignment="1">
      <alignment horizontal="left" indent="1"/>
    </xf>
    <xf numFmtId="167" fontId="28" fillId="36" borderId="33" xfId="11" applyNumberFormat="1" applyFont="1" applyFill="1" applyBorder="1" applyAlignment="1">
      <alignment horizontal="left" indent="1"/>
    </xf>
    <xf numFmtId="167" fontId="28" fillId="37" borderId="33" xfId="11" applyNumberFormat="1" applyFont="1" applyFill="1" applyBorder="1" applyAlignment="1">
      <alignment horizontal="left" indent="1"/>
    </xf>
    <xf numFmtId="167" fontId="28" fillId="38" borderId="33" xfId="11" applyNumberFormat="1" applyFont="1" applyFill="1" applyBorder="1" applyAlignment="1">
      <alignment horizontal="left" indent="1"/>
    </xf>
    <xf numFmtId="167" fontId="27" fillId="2" borderId="33" xfId="11" applyNumberFormat="1" applyFont="1" applyFill="1" applyBorder="1" applyAlignment="1">
      <alignment horizontal="left"/>
    </xf>
    <xf numFmtId="167" fontId="27" fillId="37" borderId="33" xfId="11" applyNumberFormat="1" applyFont="1" applyFill="1" applyBorder="1" applyAlignment="1">
      <alignment horizontal="left" indent="1"/>
    </xf>
    <xf numFmtId="167" fontId="27" fillId="38" borderId="33" xfId="11" applyNumberFormat="1" applyFont="1" applyFill="1" applyBorder="1" applyAlignment="1">
      <alignment horizontal="left" indent="1"/>
    </xf>
    <xf numFmtId="167" fontId="27" fillId="36" borderId="33" xfId="11" applyNumberFormat="1" applyFont="1" applyFill="1" applyBorder="1" applyAlignment="1">
      <alignment horizontal="left" indent="1"/>
    </xf>
    <xf numFmtId="167" fontId="27" fillId="33" borderId="33" xfId="11" applyNumberFormat="1" applyFont="1" applyFill="1" applyBorder="1" applyAlignment="1">
      <alignment horizontal="left" indent="1"/>
    </xf>
    <xf numFmtId="167" fontId="27" fillId="34" borderId="33" xfId="11" applyNumberFormat="1" applyFont="1" applyFill="1" applyBorder="1" applyAlignment="1">
      <alignment horizontal="left" indent="1"/>
    </xf>
    <xf numFmtId="167" fontId="28" fillId="2" borderId="45" xfId="11" applyNumberFormat="1" applyFont="1" applyFill="1" applyBorder="1" applyAlignment="1">
      <alignment horizontal="left"/>
    </xf>
    <xf numFmtId="167" fontId="28" fillId="36" borderId="33" xfId="11" applyNumberFormat="1" applyFont="1" applyFill="1" applyBorder="1" applyAlignment="1">
      <alignment horizontal="left"/>
    </xf>
    <xf numFmtId="167" fontId="28" fillId="2" borderId="10" xfId="7" applyNumberFormat="1" applyFont="1" applyFill="1" applyBorder="1"/>
    <xf numFmtId="167" fontId="28" fillId="34" borderId="33" xfId="11" applyNumberFormat="1" applyFont="1" applyFill="1" applyBorder="1" applyAlignment="1">
      <alignment horizontal="left"/>
    </xf>
    <xf numFmtId="0" fontId="36" fillId="0" borderId="35" xfId="6" applyFont="1" applyBorder="1" applyAlignment="1">
      <alignment vertical="center"/>
    </xf>
    <xf numFmtId="167" fontId="28" fillId="0" borderId="10" xfId="7" applyNumberFormat="1" applyFont="1" applyFill="1" applyBorder="1"/>
    <xf numFmtId="167" fontId="24" fillId="0" borderId="0" xfId="6" applyNumberFormat="1" applyFont="1"/>
    <xf numFmtId="167" fontId="27" fillId="0" borderId="45" xfId="11" applyNumberFormat="1" applyFont="1" applyFill="1" applyBorder="1" applyAlignment="1" applyProtection="1">
      <alignment horizontal="center" vertical="center" wrapText="1"/>
      <protection locked="0"/>
    </xf>
    <xf numFmtId="167" fontId="28" fillId="2" borderId="45" xfId="11" applyNumberFormat="1" applyFont="1" applyFill="1" applyBorder="1" applyAlignment="1">
      <alignment horizontal="center"/>
    </xf>
    <xf numFmtId="167" fontId="27" fillId="31" borderId="51" xfId="11" applyNumberFormat="1" applyFont="1" applyFill="1" applyBorder="1" applyAlignment="1">
      <alignment horizontal="center"/>
    </xf>
    <xf numFmtId="167" fontId="28" fillId="0" borderId="49" xfId="11" applyNumberFormat="1" applyFont="1" applyFill="1" applyBorder="1" applyAlignment="1">
      <alignment horizontal="center"/>
    </xf>
    <xf numFmtId="167" fontId="28" fillId="30" borderId="45" xfId="11" applyNumberFormat="1" applyFont="1" applyFill="1" applyBorder="1" applyAlignment="1">
      <alignment horizontal="center"/>
    </xf>
    <xf numFmtId="0" fontId="7" fillId="30" borderId="0" xfId="6" applyFont="1" applyFill="1"/>
    <xf numFmtId="167" fontId="27" fillId="30" borderId="51" xfId="11" applyNumberFormat="1" applyFont="1" applyFill="1" applyBorder="1" applyAlignment="1">
      <alignment horizontal="center"/>
    </xf>
    <xf numFmtId="167" fontId="28" fillId="30" borderId="49" xfId="11" applyNumberFormat="1" applyFont="1" applyFill="1" applyBorder="1" applyAlignment="1">
      <alignment horizontal="center"/>
    </xf>
    <xf numFmtId="167" fontId="7" fillId="30" borderId="0" xfId="6" applyNumberFormat="1" applyFont="1" applyFill="1"/>
    <xf numFmtId="0" fontId="28" fillId="30" borderId="0" xfId="6" applyFont="1" applyFill="1"/>
    <xf numFmtId="167" fontId="24" fillId="0" borderId="49" xfId="7" applyNumberFormat="1" applyFont="1" applyBorder="1"/>
    <xf numFmtId="167" fontId="24" fillId="0" borderId="67" xfId="7" applyNumberFormat="1" applyFont="1" applyBorder="1"/>
    <xf numFmtId="167" fontId="26" fillId="0" borderId="11" xfId="7" applyNumberFormat="1" applyFont="1" applyBorder="1"/>
    <xf numFmtId="0" fontId="36" fillId="0" borderId="27" xfId="6" applyFont="1" applyBorder="1" applyAlignment="1">
      <alignment vertical="center"/>
    </xf>
    <xf numFmtId="167" fontId="24" fillId="0" borderId="28" xfId="7" applyNumberFormat="1" applyFont="1" applyBorder="1"/>
    <xf numFmtId="3" fontId="0" fillId="0" borderId="0" xfId="0" applyNumberFormat="1"/>
    <xf numFmtId="167" fontId="24" fillId="0" borderId="68" xfId="7" applyNumberFormat="1" applyFont="1" applyBorder="1"/>
    <xf numFmtId="167" fontId="24" fillId="0" borderId="29" xfId="7" applyNumberFormat="1" applyFont="1" applyBorder="1"/>
    <xf numFmtId="0" fontId="36" fillId="0" borderId="69" xfId="6" applyFont="1" applyBorder="1" applyAlignment="1">
      <alignment vertical="center"/>
    </xf>
    <xf numFmtId="0" fontId="26" fillId="10" borderId="24" xfId="6" applyFont="1" applyFill="1" applyBorder="1" applyAlignment="1">
      <alignment horizontal="center" vertical="center"/>
    </xf>
    <xf numFmtId="0" fontId="36" fillId="10" borderId="25" xfId="6" applyFont="1" applyFill="1" applyBorder="1" applyAlignment="1">
      <alignment horizontal="center" vertical="center" wrapText="1"/>
    </xf>
    <xf numFmtId="0" fontId="36" fillId="10" borderId="25" xfId="6" applyFont="1" applyFill="1" applyBorder="1" applyAlignment="1">
      <alignment horizontal="center" vertical="center"/>
    </xf>
    <xf numFmtId="0" fontId="36" fillId="10" borderId="26" xfId="6" applyFont="1" applyFill="1" applyBorder="1" applyAlignment="1">
      <alignment horizontal="center" vertical="center" wrapText="1"/>
    </xf>
    <xf numFmtId="167" fontId="37" fillId="0" borderId="29" xfId="7" applyNumberFormat="1" applyFont="1" applyBorder="1"/>
    <xf numFmtId="167" fontId="28" fillId="0" borderId="0" xfId="11" applyNumberFormat="1" applyFont="1" applyFill="1" applyAlignment="1">
      <alignment horizontal="center"/>
    </xf>
    <xf numFmtId="167" fontId="28" fillId="0" borderId="0" xfId="11" applyNumberFormat="1" applyFont="1" applyFill="1"/>
    <xf numFmtId="0" fontId="28" fillId="0" borderId="0" xfId="10" applyFont="1" applyFill="1" applyAlignment="1">
      <alignment horizontal="center"/>
    </xf>
    <xf numFmtId="0" fontId="28" fillId="0" borderId="0" xfId="10" applyFont="1" applyFill="1" applyBorder="1" applyAlignment="1">
      <alignment horizontal="center"/>
    </xf>
    <xf numFmtId="167" fontId="28" fillId="0" borderId="0" xfId="11" applyNumberFormat="1" applyFont="1" applyFill="1" applyAlignment="1">
      <alignment horizontal="left"/>
    </xf>
    <xf numFmtId="167" fontId="27" fillId="0" borderId="0" xfId="11" applyNumberFormat="1" applyFont="1" applyFill="1" applyAlignment="1">
      <alignment horizontal="left"/>
    </xf>
    <xf numFmtId="168" fontId="24" fillId="0" borderId="43" xfId="8" applyNumberFormat="1" applyFont="1" applyBorder="1"/>
    <xf numFmtId="168" fontId="24" fillId="0" borderId="49" xfId="8" applyNumberFormat="1" applyFont="1" applyBorder="1"/>
    <xf numFmtId="0" fontId="25" fillId="0" borderId="0" xfId="6" applyFont="1" applyBorder="1" applyAlignment="1">
      <alignment horizontal="center" vertical="center"/>
    </xf>
    <xf numFmtId="0" fontId="25" fillId="0" borderId="0" xfId="6" applyFont="1" applyBorder="1" applyAlignment="1">
      <alignment horizontal="center" vertical="center" wrapText="1"/>
    </xf>
    <xf numFmtId="0" fontId="25" fillId="0" borderId="0" xfId="6" applyFont="1" applyFill="1" applyBorder="1" applyAlignment="1">
      <alignment horizontal="center" vertical="center"/>
    </xf>
    <xf numFmtId="168" fontId="24" fillId="0" borderId="0" xfId="8" applyNumberFormat="1" applyFont="1" applyBorder="1"/>
    <xf numFmtId="0" fontId="28" fillId="0" borderId="0" xfId="10" applyFont="1" applyFill="1" applyBorder="1"/>
    <xf numFmtId="167" fontId="27" fillId="0" borderId="33" xfId="11" applyNumberFormat="1" applyFont="1" applyFill="1" applyBorder="1" applyAlignment="1">
      <alignment horizontal="left"/>
    </xf>
    <xf numFmtId="168" fontId="27" fillId="0" borderId="33" xfId="8" applyNumberFormat="1" applyFont="1" applyFill="1" applyBorder="1" applyAlignment="1">
      <alignment horizontal="right"/>
    </xf>
    <xf numFmtId="168" fontId="27" fillId="0" borderId="10" xfId="8" applyNumberFormat="1" applyFont="1" applyFill="1" applyBorder="1" applyAlignment="1">
      <alignment horizontal="right"/>
    </xf>
    <xf numFmtId="10" fontId="27" fillId="0" borderId="34" xfId="18" applyNumberFormat="1" applyFont="1" applyFill="1" applyBorder="1" applyAlignment="1">
      <alignment horizontal="right"/>
    </xf>
    <xf numFmtId="166" fontId="27" fillId="0" borderId="33" xfId="8" applyFont="1" applyFill="1" applyBorder="1" applyAlignment="1">
      <alignment horizontal="right"/>
    </xf>
    <xf numFmtId="166" fontId="27" fillId="0" borderId="10" xfId="8" applyFont="1" applyFill="1" applyBorder="1" applyAlignment="1">
      <alignment horizontal="right"/>
    </xf>
    <xf numFmtId="166" fontId="27" fillId="0" borderId="34" xfId="8" applyFont="1" applyFill="1" applyBorder="1" applyAlignment="1">
      <alignment horizontal="right"/>
    </xf>
    <xf numFmtId="166" fontId="27" fillId="0" borderId="33" xfId="8" applyNumberFormat="1" applyFont="1" applyFill="1" applyBorder="1" applyAlignment="1">
      <alignment horizontal="right"/>
    </xf>
    <xf numFmtId="166" fontId="27" fillId="0" borderId="34" xfId="8" applyNumberFormat="1" applyFont="1" applyFill="1" applyBorder="1" applyAlignment="1">
      <alignment horizontal="right"/>
    </xf>
    <xf numFmtId="0" fontId="28" fillId="0" borderId="57" xfId="10" applyFont="1" applyFill="1" applyBorder="1"/>
    <xf numFmtId="9" fontId="27" fillId="32" borderId="33" xfId="8" applyNumberFormat="1" applyFont="1" applyFill="1" applyBorder="1" applyAlignment="1">
      <alignment horizontal="right" vertical="center"/>
    </xf>
    <xf numFmtId="39" fontId="27" fillId="31" borderId="33" xfId="8" applyNumberFormat="1" applyFont="1" applyFill="1" applyBorder="1" applyAlignment="1">
      <alignment horizontal="right"/>
    </xf>
    <xf numFmtId="168" fontId="40" fillId="2" borderId="56" xfId="15" applyNumberFormat="1" applyFont="1" applyFill="1" applyBorder="1"/>
    <xf numFmtId="168" fontId="40" fillId="2" borderId="0" xfId="15" applyNumberFormat="1" applyFont="1" applyFill="1" applyBorder="1"/>
    <xf numFmtId="171" fontId="41" fillId="0" borderId="38" xfId="14" applyNumberFormat="1" applyFont="1" applyFill="1" applyBorder="1" applyAlignment="1" applyProtection="1">
      <alignment horizontal="center" vertical="center" wrapText="1"/>
      <protection locked="0"/>
    </xf>
    <xf numFmtId="168" fontId="41" fillId="31" borderId="33" xfId="8" applyNumberFormat="1" applyFont="1" applyFill="1" applyBorder="1" applyAlignment="1">
      <alignment horizontal="right"/>
    </xf>
    <xf numFmtId="168" fontId="42" fillId="2" borderId="33" xfId="8" applyNumberFormat="1" applyFont="1" applyFill="1" applyBorder="1" applyAlignment="1">
      <alignment horizontal="right"/>
    </xf>
    <xf numFmtId="168" fontId="42" fillId="0" borderId="33" xfId="8" applyNumberFormat="1" applyFont="1" applyFill="1" applyBorder="1" applyAlignment="1">
      <alignment horizontal="right"/>
    </xf>
    <xf numFmtId="168" fontId="41" fillId="0" borderId="33" xfId="8" applyNumberFormat="1" applyFont="1" applyFill="1" applyBorder="1" applyAlignment="1">
      <alignment horizontal="right"/>
    </xf>
    <xf numFmtId="168" fontId="42" fillId="2" borderId="33" xfId="8" applyNumberFormat="1" applyFont="1" applyFill="1" applyBorder="1" applyAlignment="1">
      <alignment horizontal="right" vertical="center"/>
    </xf>
    <xf numFmtId="168" fontId="42" fillId="0" borderId="33" xfId="8" applyNumberFormat="1" applyFont="1" applyFill="1" applyBorder="1" applyAlignment="1">
      <alignment horizontal="right" vertical="center"/>
    </xf>
    <xf numFmtId="168" fontId="41" fillId="32" borderId="33" xfId="8" applyNumberFormat="1" applyFont="1" applyFill="1" applyBorder="1" applyAlignment="1">
      <alignment horizontal="right" vertical="center"/>
    </xf>
    <xf numFmtId="168" fontId="43" fillId="0" borderId="33" xfId="8" applyNumberFormat="1" applyFont="1" applyBorder="1" applyAlignment="1">
      <alignment horizontal="right"/>
    </xf>
    <xf numFmtId="168" fontId="41" fillId="32" borderId="35" xfId="8" applyNumberFormat="1" applyFont="1" applyFill="1" applyBorder="1" applyAlignment="1">
      <alignment horizontal="right" vertical="center"/>
    </xf>
    <xf numFmtId="168" fontId="40" fillId="2" borderId="66" xfId="15" applyNumberFormat="1" applyFont="1" applyFill="1" applyBorder="1"/>
    <xf numFmtId="168" fontId="40" fillId="2" borderId="57" xfId="15" applyNumberFormat="1" applyFont="1" applyFill="1" applyBorder="1"/>
    <xf numFmtId="0" fontId="26" fillId="10" borderId="20" xfId="6" applyFont="1" applyFill="1" applyBorder="1" applyAlignment="1">
      <alignment horizontal="center" vertical="center"/>
    </xf>
    <xf numFmtId="0" fontId="36" fillId="10" borderId="11" xfId="6" applyFont="1" applyFill="1" applyBorder="1" applyAlignment="1">
      <alignment horizontal="center" vertical="center" wrapText="1"/>
    </xf>
    <xf numFmtId="0" fontId="36" fillId="10" borderId="14" xfId="6" applyFont="1" applyFill="1" applyBorder="1" applyAlignment="1">
      <alignment horizontal="center" vertical="center" wrapText="1"/>
    </xf>
    <xf numFmtId="0" fontId="36" fillId="10" borderId="14" xfId="6" applyFont="1" applyFill="1" applyBorder="1" applyAlignment="1">
      <alignment horizontal="center" vertical="center"/>
    </xf>
    <xf numFmtId="0" fontId="36" fillId="10" borderId="11" xfId="6" applyFont="1" applyFill="1" applyBorder="1" applyAlignment="1">
      <alignment horizontal="center" vertical="center"/>
    </xf>
    <xf numFmtId="168" fontId="37" fillId="0" borderId="32" xfId="8" applyNumberFormat="1" applyFont="1" applyBorder="1"/>
    <xf numFmtId="168" fontId="37" fillId="0" borderId="34" xfId="8" applyNumberFormat="1" applyFont="1" applyBorder="1"/>
    <xf numFmtId="0" fontId="26" fillId="0" borderId="30" xfId="6" applyFont="1" applyBorder="1"/>
    <xf numFmtId="0" fontId="36" fillId="0" borderId="33" xfId="6" applyFont="1" applyBorder="1" applyAlignment="1">
      <alignment vertical="center"/>
    </xf>
    <xf numFmtId="3" fontId="24" fillId="0" borderId="31" xfId="8" applyNumberFormat="1" applyFont="1" applyBorder="1"/>
    <xf numFmtId="37" fontId="24" fillId="0" borderId="31" xfId="8" applyNumberFormat="1" applyFont="1" applyBorder="1"/>
    <xf numFmtId="37" fontId="37" fillId="0" borderId="32" xfId="8" applyNumberFormat="1" applyFont="1" applyBorder="1"/>
    <xf numFmtId="37" fontId="37" fillId="0" borderId="34" xfId="8" applyNumberFormat="1" applyFont="1" applyBorder="1"/>
    <xf numFmtId="37" fontId="24" fillId="0" borderId="36" xfId="8" applyNumberFormat="1" applyFont="1" applyBorder="1"/>
    <xf numFmtId="37" fontId="24" fillId="0" borderId="49" xfId="8" applyNumberFormat="1" applyFont="1" applyBorder="1"/>
    <xf numFmtId="37" fontId="24" fillId="0" borderId="37" xfId="8" applyNumberFormat="1" applyFont="1" applyBorder="1"/>
    <xf numFmtId="1" fontId="24" fillId="0" borderId="36" xfId="8" applyNumberFormat="1" applyFont="1" applyBorder="1"/>
    <xf numFmtId="1" fontId="24" fillId="0" borderId="49" xfId="8" applyNumberFormat="1" applyFont="1" applyBorder="1"/>
    <xf numFmtId="1" fontId="24" fillId="0" borderId="37" xfId="8" applyNumberFormat="1" applyFont="1" applyBorder="1"/>
    <xf numFmtId="3" fontId="37" fillId="0" borderId="32" xfId="8" applyNumberFormat="1" applyFont="1" applyBorder="1"/>
    <xf numFmtId="3" fontId="37" fillId="0" borderId="34" xfId="8" applyNumberFormat="1" applyFont="1" applyBorder="1"/>
    <xf numFmtId="3" fontId="24" fillId="0" borderId="12" xfId="0" applyNumberFormat="1" applyFont="1" applyBorder="1" applyAlignment="1">
      <alignment horizontal="center"/>
    </xf>
    <xf numFmtId="0" fontId="0" fillId="0" borderId="13" xfId="0" applyBorder="1"/>
    <xf numFmtId="0" fontId="0" fillId="10" borderId="11" xfId="0" applyFill="1" applyBorder="1"/>
    <xf numFmtId="0" fontId="20" fillId="0" borderId="0" xfId="0" applyFont="1" applyFill="1"/>
    <xf numFmtId="9" fontId="20" fillId="0" borderId="0" xfId="5" applyFont="1" applyFill="1"/>
    <xf numFmtId="10" fontId="0" fillId="0" borderId="0" xfId="0" applyNumberFormat="1" applyBorder="1" applyAlignment="1">
      <alignment horizontal="center"/>
    </xf>
    <xf numFmtId="168" fontId="26" fillId="0" borderId="31" xfId="8" applyNumberFormat="1" applyFont="1" applyBorder="1"/>
    <xf numFmtId="10" fontId="0" fillId="0" borderId="0" xfId="0" applyNumberFormat="1" applyAlignment="1">
      <alignment horizontal="center"/>
    </xf>
    <xf numFmtId="171" fontId="27" fillId="30" borderId="39" xfId="14" applyNumberFormat="1" applyFont="1" applyFill="1" applyBorder="1" applyAlignment="1" applyProtection="1">
      <alignment horizontal="center" vertical="center" wrapText="1"/>
      <protection locked="0"/>
    </xf>
    <xf numFmtId="167" fontId="41" fillId="0" borderId="10" xfId="11" applyNumberFormat="1" applyFont="1" applyFill="1" applyBorder="1" applyAlignment="1" applyProtection="1">
      <alignment horizontal="center" vertical="center" wrapText="1"/>
      <protection locked="0"/>
    </xf>
    <xf numFmtId="167" fontId="41" fillId="31" borderId="33" xfId="11" applyNumberFormat="1" applyFont="1" applyFill="1" applyBorder="1" applyAlignment="1">
      <alignment horizontal="center"/>
    </xf>
    <xf numFmtId="167" fontId="42" fillId="0" borderId="10" xfId="7" applyNumberFormat="1" applyFont="1" applyBorder="1"/>
    <xf numFmtId="167" fontId="42" fillId="0" borderId="10" xfId="11" applyNumberFormat="1" applyFont="1" applyFill="1" applyBorder="1" applyAlignment="1">
      <alignment horizontal="center"/>
    </xf>
    <xf numFmtId="167" fontId="42" fillId="2" borderId="10" xfId="7" applyNumberFormat="1" applyFont="1" applyFill="1" applyBorder="1"/>
    <xf numFmtId="167" fontId="42" fillId="0" borderId="10" xfId="7" applyNumberFormat="1" applyFont="1" applyFill="1" applyBorder="1"/>
    <xf numFmtId="167" fontId="41" fillId="32" borderId="33" xfId="11" applyNumberFormat="1" applyFont="1" applyFill="1" applyBorder="1" applyAlignment="1">
      <alignment horizontal="right" vertical="center"/>
    </xf>
    <xf numFmtId="167" fontId="41" fillId="31" borderId="10" xfId="11" applyNumberFormat="1" applyFont="1" applyFill="1" applyBorder="1" applyAlignment="1">
      <alignment horizontal="center"/>
    </xf>
    <xf numFmtId="167" fontId="41" fillId="0" borderId="10" xfId="11" applyNumberFormat="1" applyFont="1" applyFill="1" applyBorder="1" applyAlignment="1">
      <alignment horizontal="center"/>
    </xf>
    <xf numFmtId="167" fontId="41" fillId="32" borderId="10" xfId="11" applyNumberFormat="1" applyFont="1" applyFill="1" applyBorder="1" applyAlignment="1">
      <alignment horizontal="right" vertical="center"/>
    </xf>
    <xf numFmtId="0" fontId="42" fillId="0" borderId="10" xfId="6" applyFont="1" applyBorder="1"/>
    <xf numFmtId="167" fontId="41" fillId="32" borderId="36" xfId="11" applyNumberFormat="1" applyFont="1" applyFill="1" applyBorder="1" applyAlignment="1">
      <alignment horizontal="right" vertical="center"/>
    </xf>
    <xf numFmtId="0" fontId="42" fillId="0" borderId="0" xfId="6" applyFont="1"/>
    <xf numFmtId="167" fontId="41" fillId="31" borderId="39" xfId="11" applyNumberFormat="1" applyFont="1" applyFill="1" applyBorder="1" applyAlignment="1">
      <alignment horizontal="center"/>
    </xf>
    <xf numFmtId="167" fontId="42" fillId="0" borderId="36" xfId="11" applyNumberFormat="1" applyFont="1" applyFill="1" applyBorder="1" applyAlignment="1">
      <alignment horizontal="center"/>
    </xf>
    <xf numFmtId="167" fontId="41" fillId="0" borderId="45" xfId="11" applyNumberFormat="1" applyFont="1" applyFill="1" applyBorder="1" applyAlignment="1" applyProtection="1">
      <alignment horizontal="center" vertical="center" wrapText="1"/>
      <protection locked="0"/>
    </xf>
    <xf numFmtId="167" fontId="42" fillId="2" borderId="10" xfId="11" applyNumberFormat="1" applyFont="1" applyFill="1" applyBorder="1" applyAlignment="1">
      <alignment horizontal="center"/>
    </xf>
    <xf numFmtId="0" fontId="42" fillId="30" borderId="0" xfId="6" applyFont="1" applyFill="1"/>
    <xf numFmtId="167" fontId="41" fillId="30" borderId="51" xfId="11" applyNumberFormat="1" applyFont="1" applyFill="1" applyBorder="1" applyAlignment="1">
      <alignment horizontal="center"/>
    </xf>
    <xf numFmtId="167" fontId="42" fillId="30" borderId="45" xfId="11" applyNumberFormat="1" applyFont="1" applyFill="1" applyBorder="1" applyAlignment="1">
      <alignment horizontal="center"/>
    </xf>
    <xf numFmtId="167" fontId="42" fillId="30" borderId="49" xfId="11" applyNumberFormat="1" applyFont="1" applyFill="1" applyBorder="1" applyAlignment="1">
      <alignment horizontal="center"/>
    </xf>
    <xf numFmtId="3" fontId="24" fillId="0" borderId="0" xfId="6" applyNumberFormat="1" applyFont="1"/>
    <xf numFmtId="166" fontId="24" fillId="0" borderId="10" xfId="1" applyFont="1" applyBorder="1"/>
    <xf numFmtId="2" fontId="24" fillId="0" borderId="10" xfId="8" applyNumberFormat="1" applyFont="1" applyBorder="1"/>
    <xf numFmtId="10" fontId="24" fillId="0" borderId="0" xfId="6" applyNumberFormat="1" applyFont="1"/>
    <xf numFmtId="166" fontId="24" fillId="0" borderId="70" xfId="1" applyFont="1" applyBorder="1"/>
    <xf numFmtId="0" fontId="36" fillId="0" borderId="71" xfId="6" applyFont="1" applyBorder="1" applyAlignment="1">
      <alignment vertical="center"/>
    </xf>
    <xf numFmtId="166" fontId="24" fillId="0" borderId="72" xfId="1" applyFont="1" applyBorder="1"/>
    <xf numFmtId="168" fontId="37" fillId="0" borderId="43" xfId="8" applyNumberFormat="1" applyFont="1" applyBorder="1"/>
    <xf numFmtId="168" fontId="37" fillId="0" borderId="45" xfId="8" applyNumberFormat="1" applyFont="1" applyBorder="1"/>
    <xf numFmtId="0" fontId="0" fillId="10" borderId="18" xfId="0" applyFill="1" applyBorder="1"/>
    <xf numFmtId="3" fontId="24" fillId="0" borderId="34" xfId="0" applyNumberFormat="1" applyFont="1" applyBorder="1" applyAlignment="1">
      <alignment horizontal="center"/>
    </xf>
    <xf numFmtId="0" fontId="0" fillId="0" borderId="34" xfId="0" applyBorder="1"/>
    <xf numFmtId="0" fontId="0" fillId="0" borderId="37" xfId="0" applyBorder="1"/>
    <xf numFmtId="3" fontId="24" fillId="0" borderId="10" xfId="8" applyNumberFormat="1" applyFont="1" applyBorder="1"/>
    <xf numFmtId="0" fontId="26" fillId="10" borderId="16" xfId="6" applyFont="1" applyFill="1" applyBorder="1" applyAlignment="1">
      <alignment horizontal="center" vertical="center"/>
    </xf>
    <xf numFmtId="0" fontId="36" fillId="10" borderId="21" xfId="6" applyFont="1" applyFill="1" applyBorder="1" applyAlignment="1">
      <alignment horizontal="center" vertical="center" wrapText="1"/>
    </xf>
    <xf numFmtId="0" fontId="36" fillId="10" borderId="17" xfId="6" applyFont="1" applyFill="1" applyBorder="1" applyAlignment="1">
      <alignment horizontal="center" vertical="center" wrapText="1"/>
    </xf>
    <xf numFmtId="0" fontId="36" fillId="10" borderId="17" xfId="6" applyFont="1" applyFill="1" applyBorder="1" applyAlignment="1">
      <alignment horizontal="center" vertical="center"/>
    </xf>
    <xf numFmtId="0" fontId="36" fillId="10" borderId="21" xfId="6" applyFont="1" applyFill="1" applyBorder="1" applyAlignment="1">
      <alignment horizontal="center" vertical="center"/>
    </xf>
    <xf numFmtId="168" fontId="37" fillId="0" borderId="10" xfId="8" applyNumberFormat="1" applyFont="1" applyBorder="1"/>
    <xf numFmtId="0" fontId="26" fillId="0" borderId="33" xfId="6" applyFont="1" applyBorder="1"/>
    <xf numFmtId="0" fontId="0" fillId="10" borderId="21" xfId="0" applyFill="1" applyBorder="1"/>
    <xf numFmtId="37" fontId="24" fillId="0" borderId="10" xfId="8" applyNumberFormat="1" applyFont="1" applyBorder="1"/>
    <xf numFmtId="37" fontId="37" fillId="0" borderId="10" xfId="8" applyNumberFormat="1" applyFont="1" applyBorder="1"/>
    <xf numFmtId="166" fontId="24" fillId="0" borderId="10" xfId="1" applyFont="1" applyFill="1" applyBorder="1"/>
    <xf numFmtId="166" fontId="24" fillId="0" borderId="70" xfId="1" applyFont="1" applyFill="1" applyBorder="1"/>
    <xf numFmtId="3" fontId="0" fillId="39" borderId="48" xfId="20" applyNumberFormat="1" applyFont="1" applyBorder="1" applyAlignment="1">
      <alignment horizontal="left"/>
    </xf>
    <xf numFmtId="167" fontId="0" fillId="39" borderId="48" xfId="2" applyNumberFormat="1" applyFont="1" applyFill="1" applyBorder="1" applyAlignment="1">
      <alignment horizontal="left"/>
    </xf>
    <xf numFmtId="3" fontId="0" fillId="39" borderId="0" xfId="20" applyNumberFormat="1" applyFont="1" applyBorder="1" applyAlignment="1">
      <alignment horizontal="left"/>
    </xf>
    <xf numFmtId="3" fontId="0" fillId="0" borderId="0" xfId="0" quotePrefix="1" applyNumberFormat="1"/>
    <xf numFmtId="2" fontId="0" fillId="0" borderId="0" xfId="0" quotePrefix="1" applyNumberFormat="1"/>
    <xf numFmtId="3" fontId="1" fillId="39" borderId="48" xfId="20" applyNumberFormat="1" applyBorder="1" applyAlignment="1">
      <alignment horizontal="left"/>
    </xf>
    <xf numFmtId="3" fontId="0" fillId="0" borderId="0" xfId="0" applyNumberFormat="1" applyAlignment="1">
      <alignment horizontal="left"/>
    </xf>
    <xf numFmtId="172" fontId="0" fillId="0" borderId="0" xfId="0" quotePrefix="1" applyNumberFormat="1"/>
    <xf numFmtId="173" fontId="0" fillId="0" borderId="0" xfId="0" quotePrefix="1" applyNumberFormat="1"/>
    <xf numFmtId="173" fontId="0" fillId="0" borderId="0" xfId="0" applyNumberFormat="1"/>
    <xf numFmtId="165" fontId="24" fillId="0" borderId="0" xfId="6" applyNumberFormat="1" applyFont="1"/>
    <xf numFmtId="166" fontId="24" fillId="0" borderId="0" xfId="1" applyFont="1"/>
    <xf numFmtId="0" fontId="26" fillId="10" borderId="24" xfId="6" applyFont="1" applyFill="1" applyBorder="1" applyAlignment="1">
      <alignment horizontal="center" vertical="center" wrapText="1"/>
    </xf>
    <xf numFmtId="0" fontId="24" fillId="0" borderId="27" xfId="6" applyFont="1" applyBorder="1"/>
    <xf numFmtId="0" fontId="25" fillId="0" borderId="69" xfId="6" applyFont="1" applyBorder="1" applyAlignment="1">
      <alignment vertical="center"/>
    </xf>
    <xf numFmtId="167" fontId="24" fillId="0" borderId="0" xfId="6" applyNumberFormat="1" applyFont="1" applyAlignment="1">
      <alignment horizontal="left"/>
    </xf>
    <xf numFmtId="0" fontId="39" fillId="0" borderId="0" xfId="6" applyFont="1" applyAlignment="1">
      <alignment horizontal="center"/>
    </xf>
    <xf numFmtId="167" fontId="24" fillId="0" borderId="28" xfId="7" applyNumberFormat="1" applyFont="1" applyFill="1" applyBorder="1"/>
    <xf numFmtId="167" fontId="44" fillId="0" borderId="28" xfId="7" applyNumberFormat="1" applyFont="1" applyBorder="1"/>
    <xf numFmtId="167" fontId="44" fillId="0" borderId="28" xfId="7" applyNumberFormat="1" applyFont="1" applyFill="1" applyBorder="1"/>
    <xf numFmtId="167" fontId="45" fillId="0" borderId="28" xfId="7" applyNumberFormat="1" applyFont="1" applyBorder="1"/>
    <xf numFmtId="167" fontId="45" fillId="0" borderId="28" xfId="7" applyNumberFormat="1" applyFont="1" applyFill="1" applyBorder="1"/>
    <xf numFmtId="167" fontId="37" fillId="0" borderId="29" xfId="7" applyNumberFormat="1" applyFont="1" applyFill="1" applyBorder="1"/>
    <xf numFmtId="167" fontId="26" fillId="0" borderId="29" xfId="7" applyNumberFormat="1" applyFont="1" applyFill="1" applyBorder="1"/>
    <xf numFmtId="167" fontId="26" fillId="0" borderId="11" xfId="7" applyNumberFormat="1" applyFont="1" applyFill="1" applyBorder="1"/>
    <xf numFmtId="167" fontId="24" fillId="0" borderId="29" xfId="7" applyNumberFormat="1" applyFont="1" applyFill="1" applyBorder="1"/>
    <xf numFmtId="167" fontId="24" fillId="0" borderId="68" xfId="7" applyNumberFormat="1" applyFont="1" applyFill="1" applyBorder="1"/>
    <xf numFmtId="167" fontId="26" fillId="0" borderId="28" xfId="7" applyNumberFormat="1" applyFont="1" applyFill="1" applyBorder="1"/>
    <xf numFmtId="167" fontId="24" fillId="0" borderId="67" xfId="7" applyNumberFormat="1" applyFont="1" applyFill="1" applyBorder="1"/>
    <xf numFmtId="166" fontId="24" fillId="0" borderId="70" xfId="1" applyNumberFormat="1" applyFont="1" applyFill="1" applyBorder="1"/>
    <xf numFmtId="2" fontId="37" fillId="0" borderId="72" xfId="8" applyNumberFormat="1" applyFont="1" applyFill="1" applyBorder="1" applyAlignment="1">
      <alignment horizontal="right"/>
    </xf>
    <xf numFmtId="2" fontId="37" fillId="0" borderId="45" xfId="8" applyNumberFormat="1" applyFont="1" applyFill="1" applyBorder="1" applyAlignment="1">
      <alignment horizontal="right"/>
    </xf>
    <xf numFmtId="2" fontId="37" fillId="0" borderId="36" xfId="8" applyNumberFormat="1" applyFont="1" applyFill="1" applyBorder="1" applyAlignment="1">
      <alignment horizontal="right"/>
    </xf>
    <xf numFmtId="2" fontId="37" fillId="0" borderId="10" xfId="8" applyNumberFormat="1" applyFont="1" applyFill="1" applyBorder="1" applyAlignment="1">
      <alignment horizontal="right"/>
    </xf>
    <xf numFmtId="0" fontId="36" fillId="10" borderId="73" xfId="6" applyFont="1" applyFill="1" applyBorder="1" applyAlignment="1">
      <alignment horizontal="center" vertical="center" wrapText="1"/>
    </xf>
    <xf numFmtId="0" fontId="26" fillId="10" borderId="11" xfId="6" applyFont="1" applyFill="1" applyBorder="1" applyAlignment="1">
      <alignment horizontal="center" vertical="center" wrapText="1"/>
    </xf>
    <xf numFmtId="3" fontId="0" fillId="0" borderId="0" xfId="0" quotePrefix="1" applyNumberFormat="1" applyFill="1"/>
    <xf numFmtId="2" fontId="0" fillId="0" borderId="0" xfId="0" quotePrefix="1" applyNumberFormat="1" applyFill="1"/>
    <xf numFmtId="3" fontId="0" fillId="0" borderId="0" xfId="0" applyNumberFormat="1" applyFill="1"/>
    <xf numFmtId="172" fontId="0" fillId="0" borderId="0" xfId="0" quotePrefix="1" applyNumberFormat="1" applyFill="1"/>
    <xf numFmtId="0" fontId="0" fillId="0" borderId="0" xfId="0" applyFill="1"/>
    <xf numFmtId="0" fontId="39" fillId="0" borderId="0" xfId="6" applyFont="1" applyAlignment="1">
      <alignment horizontal="center"/>
    </xf>
    <xf numFmtId="0" fontId="19" fillId="29" borderId="21" xfId="0" applyFont="1" applyFill="1" applyBorder="1" applyAlignment="1">
      <alignment horizontal="center" vertical="center" wrapText="1"/>
    </xf>
    <xf numFmtId="0" fontId="19" fillId="29" borderId="13" xfId="0" applyFont="1" applyFill="1" applyBorder="1" applyAlignment="1">
      <alignment horizontal="center" vertical="center" wrapText="1"/>
    </xf>
    <xf numFmtId="167" fontId="19" fillId="29" borderId="17" xfId="0" applyNumberFormat="1" applyFont="1" applyFill="1" applyBorder="1" applyAlignment="1">
      <alignment horizontal="center"/>
    </xf>
    <xf numFmtId="167" fontId="19" fillId="29" borderId="18" xfId="0" applyNumberFormat="1" applyFont="1" applyFill="1" applyBorder="1" applyAlignment="1">
      <alignment horizontal="center"/>
    </xf>
    <xf numFmtId="164" fontId="5" fillId="14" borderId="3" xfId="0" applyNumberFormat="1" applyFont="1" applyFill="1" applyBorder="1" applyAlignment="1">
      <alignment horizontal="right" vertical="center"/>
    </xf>
    <xf numFmtId="164" fontId="5" fillId="14" borderId="5" xfId="0" applyNumberFormat="1" applyFont="1" applyFill="1" applyBorder="1" applyAlignment="1">
      <alignment horizontal="right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2" fillId="4" borderId="8" xfId="2" applyNumberFormat="1" applyFont="1" applyFill="1" applyBorder="1" applyAlignment="1">
      <alignment horizont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164" fontId="6" fillId="7" borderId="5" xfId="1" applyNumberFormat="1" applyFont="1" applyFill="1" applyBorder="1" applyAlignment="1">
      <alignment horizontal="center" vertical="center" wrapText="1"/>
    </xf>
    <xf numFmtId="164" fontId="4" fillId="9" borderId="3" xfId="1" applyNumberFormat="1" applyFont="1" applyFill="1" applyBorder="1" applyAlignment="1">
      <alignment horizontal="right" vertical="center" wrapText="1"/>
    </xf>
    <xf numFmtId="164" fontId="4" fillId="9" borderId="5" xfId="1" applyNumberFormat="1" applyFont="1" applyFill="1" applyBorder="1" applyAlignment="1">
      <alignment horizontal="right" vertical="center" wrapText="1"/>
    </xf>
    <xf numFmtId="164" fontId="2" fillId="10" borderId="3" xfId="0" applyNumberFormat="1" applyFont="1" applyFill="1" applyBorder="1" applyAlignment="1">
      <alignment horizontal="right" vertical="center"/>
    </xf>
    <xf numFmtId="164" fontId="2" fillId="10" borderId="5" xfId="0" applyNumberFormat="1" applyFont="1" applyFill="1" applyBorder="1" applyAlignment="1">
      <alignment horizontal="right" vertical="center"/>
    </xf>
    <xf numFmtId="164" fontId="2" fillId="12" borderId="3" xfId="0" applyNumberFormat="1" applyFont="1" applyFill="1" applyBorder="1" applyAlignment="1">
      <alignment horizontal="right" vertical="center"/>
    </xf>
    <xf numFmtId="164" fontId="2" fillId="12" borderId="5" xfId="0" applyNumberFormat="1" applyFont="1" applyFill="1" applyBorder="1" applyAlignment="1">
      <alignment horizontal="right" vertical="center"/>
    </xf>
    <xf numFmtId="0" fontId="2" fillId="3" borderId="2" xfId="2" applyNumberFormat="1" applyFont="1" applyFill="1" applyBorder="1" applyAlignment="1">
      <alignment horizontal="center" vertical="center"/>
    </xf>
    <xf numFmtId="0" fontId="2" fillId="3" borderId="6" xfId="2" applyNumberFormat="1" applyFont="1" applyFill="1" applyBorder="1" applyAlignment="1">
      <alignment horizontal="center" vertical="center"/>
    </xf>
    <xf numFmtId="167" fontId="27" fillId="0" borderId="38" xfId="11" applyNumberFormat="1" applyFont="1" applyFill="1" applyBorder="1" applyAlignment="1">
      <alignment horizontal="center"/>
    </xf>
    <xf numFmtId="167" fontId="27" fillId="0" borderId="39" xfId="11" applyNumberFormat="1" applyFont="1" applyFill="1" applyBorder="1" applyAlignment="1">
      <alignment horizontal="center"/>
    </xf>
    <xf numFmtId="167" fontId="27" fillId="0" borderId="51" xfId="11" applyNumberFormat="1" applyFont="1" applyFill="1" applyBorder="1" applyAlignment="1">
      <alignment horizontal="center"/>
    </xf>
    <xf numFmtId="167" fontId="27" fillId="0" borderId="40" xfId="11" applyNumberFormat="1" applyFont="1" applyFill="1" applyBorder="1" applyAlignment="1">
      <alignment horizontal="center"/>
    </xf>
    <xf numFmtId="37" fontId="31" fillId="2" borderId="0" xfId="10" applyNumberFormat="1" applyFont="1" applyFill="1" applyBorder="1" applyAlignment="1">
      <alignment horizontal="center"/>
    </xf>
    <xf numFmtId="167" fontId="28" fillId="0" borderId="0" xfId="11" quotePrefix="1" applyNumberFormat="1" applyFont="1" applyFill="1" applyBorder="1" applyAlignment="1">
      <alignment wrapText="1"/>
    </xf>
    <xf numFmtId="167" fontId="28" fillId="0" borderId="0" xfId="11" applyNumberFormat="1" applyFont="1" applyFill="1" applyBorder="1" applyAlignment="1">
      <alignment wrapText="1"/>
    </xf>
    <xf numFmtId="167" fontId="27" fillId="0" borderId="38" xfId="11" applyNumberFormat="1" applyFont="1" applyFill="1" applyBorder="1" applyAlignment="1">
      <alignment horizontal="center" wrapText="1"/>
    </xf>
    <xf numFmtId="167" fontId="27" fillId="0" borderId="39" xfId="11" applyNumberFormat="1" applyFont="1" applyFill="1" applyBorder="1" applyAlignment="1">
      <alignment horizontal="center" wrapText="1"/>
    </xf>
    <xf numFmtId="167" fontId="27" fillId="0" borderId="51" xfId="11" applyNumberFormat="1" applyFont="1" applyFill="1" applyBorder="1" applyAlignment="1">
      <alignment horizontal="center" wrapText="1"/>
    </xf>
    <xf numFmtId="167" fontId="27" fillId="0" borderId="40" xfId="11" applyNumberFormat="1" applyFont="1" applyFill="1" applyBorder="1" applyAlignment="1">
      <alignment horizontal="center" wrapText="1"/>
    </xf>
    <xf numFmtId="37" fontId="27" fillId="2" borderId="48" xfId="10" applyNumberFormat="1" applyFont="1" applyFill="1" applyBorder="1" applyAlignment="1">
      <alignment horizontal="center"/>
    </xf>
    <xf numFmtId="37" fontId="27" fillId="2" borderId="46" xfId="10" applyNumberFormat="1" applyFont="1" applyFill="1" applyBorder="1" applyAlignment="1">
      <alignment horizontal="center"/>
    </xf>
    <xf numFmtId="168" fontId="33" fillId="2" borderId="16" xfId="14" applyNumberFormat="1" applyFont="1" applyFill="1" applyBorder="1" applyAlignment="1">
      <alignment horizontal="left" wrapText="1"/>
    </xf>
    <xf numFmtId="168" fontId="33" fillId="2" borderId="17" xfId="14" applyNumberFormat="1" applyFont="1" applyFill="1" applyBorder="1" applyAlignment="1">
      <alignment horizontal="left" wrapText="1"/>
    </xf>
    <xf numFmtId="168" fontId="28" fillId="0" borderId="58" xfId="15" applyNumberFormat="1" applyFont="1" applyFill="1" applyBorder="1" applyAlignment="1">
      <alignment horizontal="center"/>
    </xf>
    <xf numFmtId="168" fontId="28" fillId="0" borderId="59" xfId="15" applyNumberFormat="1" applyFont="1" applyFill="1" applyBorder="1" applyAlignment="1">
      <alignment horizontal="center"/>
    </xf>
    <xf numFmtId="168" fontId="28" fillId="0" borderId="60" xfId="15" applyNumberFormat="1" applyFont="1" applyFill="1" applyBorder="1" applyAlignment="1">
      <alignment horizontal="center"/>
    </xf>
    <xf numFmtId="168" fontId="28" fillId="0" borderId="58" xfId="15" applyNumberFormat="1" applyFont="1" applyFill="1" applyBorder="1" applyAlignment="1">
      <alignment horizontal="center" wrapText="1"/>
    </xf>
    <xf numFmtId="168" fontId="28" fillId="0" borderId="59" xfId="15" applyNumberFormat="1" applyFont="1" applyFill="1" applyBorder="1" applyAlignment="1">
      <alignment horizontal="center" wrapText="1"/>
    </xf>
    <xf numFmtId="168" fontId="28" fillId="0" borderId="60" xfId="15" applyNumberFormat="1" applyFont="1" applyFill="1" applyBorder="1" applyAlignment="1">
      <alignment horizontal="center" wrapText="1"/>
    </xf>
    <xf numFmtId="0" fontId="27" fillId="2" borderId="0" xfId="10" applyFont="1" applyFill="1" applyBorder="1" applyAlignment="1">
      <alignment horizontal="left" vertical="center" wrapText="1"/>
    </xf>
    <xf numFmtId="0" fontId="27" fillId="2" borderId="20" xfId="17" applyFont="1" applyFill="1" applyBorder="1" applyAlignment="1">
      <alignment horizontal="center" vertical="center"/>
    </xf>
    <xf numFmtId="0" fontId="27" fillId="2" borderId="14" xfId="17" applyFont="1" applyFill="1" applyBorder="1" applyAlignment="1">
      <alignment horizontal="center" vertical="center"/>
    </xf>
    <xf numFmtId="0" fontId="27" fillId="2" borderId="15" xfId="17" applyFont="1" applyFill="1" applyBorder="1" applyAlignment="1">
      <alignment horizontal="center" vertical="center"/>
    </xf>
    <xf numFmtId="166" fontId="27" fillId="2" borderId="61" xfId="15" applyFont="1" applyFill="1" applyBorder="1" applyAlignment="1">
      <alignment horizontal="center" vertical="center"/>
    </xf>
    <xf numFmtId="166" fontId="27" fillId="2" borderId="62" xfId="15" applyFont="1" applyFill="1" applyBorder="1" applyAlignment="1">
      <alignment horizontal="center" vertical="center"/>
    </xf>
    <xf numFmtId="0" fontId="27" fillId="2" borderId="61" xfId="17" applyFont="1" applyFill="1" applyBorder="1" applyAlignment="1">
      <alignment horizontal="center" vertical="center"/>
    </xf>
    <xf numFmtId="0" fontId="27" fillId="2" borderId="50" xfId="17" applyFont="1" applyFill="1" applyBorder="1" applyAlignment="1">
      <alignment horizontal="center" vertical="center"/>
    </xf>
    <xf numFmtId="0" fontId="27" fillId="2" borderId="49" xfId="17" applyFont="1" applyFill="1" applyBorder="1" applyAlignment="1">
      <alignment horizontal="center" vertical="center"/>
    </xf>
    <xf numFmtId="0" fontId="27" fillId="0" borderId="49" xfId="17" applyFont="1" applyFill="1" applyBorder="1" applyAlignment="1">
      <alignment horizontal="center" vertical="center"/>
    </xf>
    <xf numFmtId="0" fontId="27" fillId="0" borderId="50" xfId="17" applyFont="1" applyFill="1" applyBorder="1" applyAlignment="1">
      <alignment horizontal="center" vertical="center"/>
    </xf>
    <xf numFmtId="0" fontId="27" fillId="0" borderId="62" xfId="17" applyFont="1" applyFill="1" applyBorder="1" applyAlignment="1">
      <alignment horizontal="center" vertical="center"/>
    </xf>
    <xf numFmtId="0" fontId="27" fillId="2" borderId="53" xfId="17" applyFont="1" applyFill="1" applyBorder="1" applyAlignment="1">
      <alignment horizontal="center" vertical="center"/>
    </xf>
  </cellXfs>
  <cellStyles count="21">
    <cellStyle name="20% - Accent5" xfId="20" builtinId="46"/>
    <cellStyle name="Comma" xfId="1" builtinId="3"/>
    <cellStyle name="Comma 2" xfId="8"/>
    <cellStyle name="Comma 2 2" xfId="13"/>
    <cellStyle name="Comma 2 2 2" xfId="15"/>
    <cellStyle name="Comma 4 3" xfId="14"/>
    <cellStyle name="Currency" xfId="2" builtinId="4"/>
    <cellStyle name="Currency 11" xfId="11"/>
    <cellStyle name="Currency 2" xfId="4"/>
    <cellStyle name="Currency 3" xfId="7"/>
    <cellStyle name="Normal" xfId="0" builtinId="0"/>
    <cellStyle name="Normal 2" xfId="3"/>
    <cellStyle name="Normal 2 10 10" xfId="17"/>
    <cellStyle name="Normal 2 2" xfId="9"/>
    <cellStyle name="Normal 2_Portfolio Budget" xfId="19"/>
    <cellStyle name="Normal 3" xfId="6"/>
    <cellStyle name="Normal_Attachment 5A - Program Budget Workbook Dec22" xfId="10"/>
    <cellStyle name="Normal_DRAFT_June1Filing_v05_zap041705" xfId="12"/>
    <cellStyle name="Percent" xfId="5" builtinId="5"/>
    <cellStyle name="Percent 2" xfId="18"/>
    <cellStyle name="Percent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5" Type="http://schemas.openxmlformats.org/officeDocument/2006/relationships/customXml" Target="../customXml/item1.xml"/><Relationship Id="rId16" Type="http://schemas.openxmlformats.org/officeDocument/2006/relationships/customXml" Target="../customXml/item2.xml"/><Relationship Id="rId17" Type="http://schemas.openxmlformats.org/officeDocument/2006/relationships/customXml" Target="../customXml/item3.xml"/><Relationship Id="rId18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eee1/Documents/Eric/Annual%20Planning/2017%20EE%20Planning/Financial%20Tracking%20-%205_31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EDARS/CEDARS%20FM/Jeff%20Hirsch%20spec%20review/Finals/Appendix%20B_2017Budget%20and%20Savings%20Tables_2016-08-16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ateSelect"/>
      <sheetName val="EE_Expenditures"/>
      <sheetName val="Finances_Pipeline"/>
    </sheetNames>
    <sheetDataSet>
      <sheetData sheetId="0" refreshError="1"/>
      <sheetData sheetId="1">
        <row r="6">
          <cell r="A6" t="str">
            <v>Apr 30 2016</v>
          </cell>
        </row>
      </sheetData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App B.1 Budget"/>
      <sheetName val="App B.2 Savings"/>
      <sheetName val="App B.3 Spending and Carryover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8"/>
  <sheetViews>
    <sheetView tabSelected="1" topLeftCell="A57" workbookViewId="0">
      <pane xSplit="2" topLeftCell="G1" activePane="topRight" state="frozen"/>
      <selection activeCell="H15" sqref="H15"/>
      <selection pane="topRight" activeCell="I141" sqref="I141"/>
    </sheetView>
  </sheetViews>
  <sheetFormatPr baseColWidth="10" defaultColWidth="16.5" defaultRowHeight="11" outlineLevelRow="1" x14ac:dyDescent="0.15"/>
  <cols>
    <col min="1" max="12" width="16.5" style="190"/>
    <col min="13" max="13" width="26.83203125" style="190" bestFit="1" customWidth="1"/>
    <col min="14" max="16" width="0" style="190" hidden="1" customWidth="1"/>
    <col min="17" max="16384" width="16.5" style="190"/>
  </cols>
  <sheetData>
    <row r="1" spans="2:14" ht="19" x14ac:dyDescent="0.25">
      <c r="B1" s="626" t="s">
        <v>496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</row>
    <row r="2" spans="2:14" ht="12" thickBot="1" x14ac:dyDescent="0.2"/>
    <row r="3" spans="2:14" ht="35.5" customHeight="1" thickBot="1" x14ac:dyDescent="0.2">
      <c r="B3" s="620" t="s">
        <v>490</v>
      </c>
      <c r="C3" s="619" t="s">
        <v>228</v>
      </c>
      <c r="D3" s="465" t="s">
        <v>229</v>
      </c>
      <c r="E3" s="465" t="s">
        <v>233</v>
      </c>
      <c r="F3" s="465" t="s">
        <v>230</v>
      </c>
      <c r="G3" s="465" t="s">
        <v>231</v>
      </c>
      <c r="H3" s="465" t="s">
        <v>223</v>
      </c>
      <c r="I3" s="465" t="s">
        <v>222</v>
      </c>
      <c r="J3" s="466" t="s">
        <v>224</v>
      </c>
      <c r="K3" s="465" t="s">
        <v>488</v>
      </c>
      <c r="L3" s="466" t="s">
        <v>489</v>
      </c>
      <c r="M3" s="467" t="s">
        <v>493</v>
      </c>
    </row>
    <row r="4" spans="2:14" ht="15" thickBot="1" x14ac:dyDescent="0.25">
      <c r="B4" s="191" t="s">
        <v>243</v>
      </c>
      <c r="C4" s="192">
        <f>SUM(C5:C9)</f>
        <v>93147422</v>
      </c>
      <c r="D4" s="192">
        <f t="shared" ref="D4:L4" si="0">SUM(D5:D9)</f>
        <v>108089871.92</v>
      </c>
      <c r="E4" s="192">
        <f t="shared" si="0"/>
        <v>25634936.84</v>
      </c>
      <c r="F4" s="192">
        <f t="shared" si="0"/>
        <v>7410023</v>
      </c>
      <c r="G4" s="192">
        <f t="shared" si="0"/>
        <v>20253803.380000003</v>
      </c>
      <c r="H4" s="192">
        <f t="shared" si="0"/>
        <v>6607962</v>
      </c>
      <c r="I4" s="192">
        <f t="shared" si="0"/>
        <v>8104652.5</v>
      </c>
      <c r="J4" s="192">
        <f t="shared" si="0"/>
        <v>10034696</v>
      </c>
      <c r="K4" s="192">
        <f t="shared" si="0"/>
        <v>9509433</v>
      </c>
      <c r="L4" s="192">
        <f t="shared" si="0"/>
        <v>288792800.63999999</v>
      </c>
      <c r="M4" s="468">
        <f>SUM(M5:M11)</f>
        <v>317672915.63999999</v>
      </c>
    </row>
    <row r="5" spans="2:14" ht="12" thickBot="1" x14ac:dyDescent="0.2">
      <c r="B5" s="191" t="s">
        <v>244</v>
      </c>
      <c r="C5" s="459">
        <f>SUM('App B.1 Budget'!E7+'App B.1 Budget'!E15+'App B.1 Budget'!E19+'App B.1 Budget'!E21)</f>
        <v>2917731</v>
      </c>
      <c r="D5" s="459">
        <f>SUM('App B.1 Budget'!E23+'App B.1 Budget'!E33)</f>
        <v>5098250</v>
      </c>
      <c r="E5" s="459">
        <f>SUM('App B.1 Budget'!E43+'App B.1 Budget'!E48)</f>
        <v>2261282</v>
      </c>
      <c r="F5" s="459">
        <f>SUM('App B.1 Budget'!E57)</f>
        <v>214049</v>
      </c>
      <c r="G5" s="459">
        <f>SUM('App B.1 Budget'!E81+'App B.1 Budget'!E109)</f>
        <v>3264058</v>
      </c>
      <c r="H5" s="459">
        <f>SUM('App B.1 Budget'!E67)</f>
        <v>514973</v>
      </c>
      <c r="I5" s="459">
        <f>SUM('App B.1 Budget'!E73)</f>
        <v>714581</v>
      </c>
      <c r="J5" s="459">
        <f>SUM('App B.1 Budget'!E77)</f>
        <v>1173147</v>
      </c>
      <c r="K5" s="459">
        <f>SUM('App B.1 Budget'!E62)</f>
        <v>1010780</v>
      </c>
      <c r="L5" s="459">
        <f>SUM(C5:K5)</f>
        <v>17168851</v>
      </c>
      <c r="M5" s="462">
        <f>SUM(L5)</f>
        <v>17168851</v>
      </c>
      <c r="N5" s="562">
        <f>SUM(M5/M4)</f>
        <v>5.4045687103701494E-2</v>
      </c>
    </row>
    <row r="6" spans="2:14" ht="12" thickBot="1" x14ac:dyDescent="0.2">
      <c r="B6" s="191" t="s">
        <v>245</v>
      </c>
      <c r="C6" s="459">
        <f>SUM('App B.1 Budget'!J7+'App B.1 Budget'!J15+'App B.1 Budget'!J19+'App B.1 Budget'!J21)</f>
        <v>3034015</v>
      </c>
      <c r="D6" s="459">
        <f>SUM('App B.1 Budget'!J23+'App B.1 Budget'!J33)</f>
        <v>1650738</v>
      </c>
      <c r="E6" s="459">
        <f>SUM('App B.1 Budget'!J43+'App B.1 Budget'!J48)</f>
        <v>933426</v>
      </c>
      <c r="F6" s="459">
        <f>SUM('App B.1 Budget'!J57)</f>
        <v>16868</v>
      </c>
      <c r="G6" s="459">
        <f>SUM('App B.1 Budget'!J81+'App B.1 Budget'!J109)</f>
        <v>445034</v>
      </c>
      <c r="H6" s="459">
        <f>SUM('App B.1 Budget'!J67)</f>
        <v>276</v>
      </c>
      <c r="I6" s="459">
        <f>SUM('App B.1 Budget'!J73)</f>
        <v>8319</v>
      </c>
      <c r="J6" s="459">
        <f>SUM('App B.1 Budget'!J77)</f>
        <v>344777</v>
      </c>
      <c r="K6" s="459">
        <f>SUM('App B.1 Budget'!J62)</f>
        <v>236059</v>
      </c>
      <c r="L6" s="459">
        <f>SUM(C6:K6)</f>
        <v>6669512</v>
      </c>
      <c r="M6" s="462">
        <f t="shared" ref="M6:M8" si="1">SUM(L6)</f>
        <v>6669512</v>
      </c>
      <c r="N6" s="562">
        <f>SUM(M6/M4)</f>
        <v>2.0994902843899241E-2</v>
      </c>
    </row>
    <row r="7" spans="2:14" ht="12" thickBot="1" x14ac:dyDescent="0.2">
      <c r="B7" s="458" t="s">
        <v>246</v>
      </c>
      <c r="C7" s="459">
        <f>SUM('App B.1 Budget'!O7+'App B.1 Budget'!O15+'App B.1 Budget'!O19+'App B.1 Budget'!O21)</f>
        <v>18555302</v>
      </c>
      <c r="D7" s="459">
        <f>SUM('App B.1 Budget'!O23+'App B.1 Budget'!O33)</f>
        <v>35863301</v>
      </c>
      <c r="E7" s="459">
        <f>SUM('App B.1 Budget'!O43+'App B.1 Budget'!O48)</f>
        <v>12662120</v>
      </c>
      <c r="F7" s="459">
        <f>SUM('App B.1 Budget'!O57)</f>
        <v>3650103</v>
      </c>
      <c r="G7" s="459">
        <f>SUM('App B.1 Budget'!O81+'App B.1 Budget'!O109)</f>
        <v>8084892.4000000004</v>
      </c>
      <c r="H7" s="459">
        <f>SUM('App B.1 Budget'!O67)</f>
        <v>6092713</v>
      </c>
      <c r="I7" s="459">
        <f>SUM('App B.1 Budget'!O73)</f>
        <v>7341958</v>
      </c>
      <c r="J7" s="459">
        <f>SUM('App B.1 Budget'!O77)</f>
        <v>8516772</v>
      </c>
      <c r="K7" s="459">
        <f>SUM('App B.1 Budget'!O62)</f>
        <v>8262594</v>
      </c>
      <c r="L7" s="459">
        <f>SUM(C7:K7)</f>
        <v>109029755.40000001</v>
      </c>
      <c r="M7" s="462">
        <f t="shared" si="1"/>
        <v>109029755.40000001</v>
      </c>
      <c r="N7" s="562">
        <f>SUM(M7/M4)</f>
        <v>0.34321388457162966</v>
      </c>
    </row>
    <row r="8" spans="2:14" ht="12" thickBot="1" x14ac:dyDescent="0.2">
      <c r="B8" s="463" t="s">
        <v>247</v>
      </c>
      <c r="C8" s="456">
        <f>SUM('App B.1 Budget'!T7+'App B.1 Budget'!T15+'App B.1 Budget'!T19+'App B.1 Budget'!T21)</f>
        <v>68640374</v>
      </c>
      <c r="D8" s="456">
        <f>SUM('App B.1 Budget'!T23+'App B.1 Budget'!T33)</f>
        <v>65477582.920000002</v>
      </c>
      <c r="E8" s="456">
        <f>SUM('App B.1 Budget'!T43+'App B.1 Budget'!T48)</f>
        <v>9778108.8399999999</v>
      </c>
      <c r="F8" s="456">
        <f>SUM('App B.1 Budget'!T57)</f>
        <v>3529003</v>
      </c>
      <c r="G8" s="456">
        <f>SUM('App B.1 Budget'!T81+'App B.1 Budget'!T109)</f>
        <v>8459818.9800000004</v>
      </c>
      <c r="H8" s="456">
        <f>SUM('App B.1 Budget'!T67)</f>
        <v>0</v>
      </c>
      <c r="I8" s="456">
        <f>SUM('App B.1 Budget'!T73)</f>
        <v>39794.5</v>
      </c>
      <c r="J8" s="456">
        <f>SUM('App B.1 Budget'!T77)</f>
        <v>0</v>
      </c>
      <c r="K8" s="456">
        <f>SUM('App B.1 Budget'!T62)</f>
        <v>0</v>
      </c>
      <c r="L8" s="456">
        <f>SUM(C8:K8)</f>
        <v>155924682.23999998</v>
      </c>
      <c r="M8" s="461">
        <f t="shared" si="1"/>
        <v>155924682.23999998</v>
      </c>
      <c r="N8" s="562">
        <f>SUM(M8/M4)</f>
        <v>0.49083404521869989</v>
      </c>
    </row>
    <row r="9" spans="2:14" ht="12" thickBot="1" x14ac:dyDescent="0.2">
      <c r="B9" s="458" t="s">
        <v>494</v>
      </c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193">
        <f>SUM('App B.1 Budget'!AF122)</f>
        <v>3666575.0000000005</v>
      </c>
      <c r="N9" s="562">
        <f>SUM(M9+M10)/M4</f>
        <v>4.1970842786954822E-2</v>
      </c>
    </row>
    <row r="10" spans="2:14" ht="12" thickBot="1" x14ac:dyDescent="0.2">
      <c r="B10" s="442" t="s">
        <v>495</v>
      </c>
      <c r="C10" s="194"/>
      <c r="D10" s="194"/>
      <c r="E10" s="194"/>
      <c r="F10" s="194"/>
      <c r="G10" s="194"/>
      <c r="H10" s="194"/>
      <c r="I10" s="194"/>
      <c r="J10" s="194"/>
      <c r="K10" s="194"/>
      <c r="L10" s="455"/>
      <c r="M10" s="457">
        <f>SUM('App B.1 Budget'!AF121)</f>
        <v>9666425</v>
      </c>
    </row>
    <row r="11" spans="2:14" ht="12" thickBot="1" x14ac:dyDescent="0.2">
      <c r="B11" s="442" t="s">
        <v>195</v>
      </c>
      <c r="C11" s="194"/>
      <c r="D11" s="194"/>
      <c r="E11" s="194"/>
      <c r="F11" s="194"/>
      <c r="G11" s="194"/>
      <c r="H11" s="194"/>
      <c r="I11" s="194"/>
      <c r="J11" s="194"/>
      <c r="K11" s="194"/>
      <c r="L11" s="455"/>
      <c r="M11" s="457">
        <f>SUM('App B.1 Budget'!AE125)</f>
        <v>15547115</v>
      </c>
    </row>
    <row r="12" spans="2:14" x14ac:dyDescent="0.15">
      <c r="L12" s="444"/>
    </row>
    <row r="13" spans="2:14" x14ac:dyDescent="0.15">
      <c r="L13" s="444"/>
    </row>
    <row r="14" spans="2:14" ht="12" thickBot="1" x14ac:dyDescent="0.2"/>
    <row r="15" spans="2:14" ht="35.5" customHeight="1" thickBot="1" x14ac:dyDescent="0.2">
      <c r="B15" s="597" t="s">
        <v>492</v>
      </c>
      <c r="C15" s="465" t="s">
        <v>228</v>
      </c>
      <c r="D15" s="465" t="s">
        <v>229</v>
      </c>
      <c r="E15" s="465" t="s">
        <v>233</v>
      </c>
      <c r="F15" s="465" t="s">
        <v>230</v>
      </c>
      <c r="G15" s="465" t="s">
        <v>231</v>
      </c>
      <c r="H15" s="465" t="s">
        <v>223</v>
      </c>
      <c r="I15" s="465" t="s">
        <v>222</v>
      </c>
      <c r="J15" s="466" t="s">
        <v>224</v>
      </c>
      <c r="K15" s="465" t="s">
        <v>488</v>
      </c>
      <c r="L15" s="466" t="s">
        <v>489</v>
      </c>
      <c r="M15" s="465" t="s">
        <v>493</v>
      </c>
    </row>
    <row r="16" spans="2:14" ht="15" thickBot="1" x14ac:dyDescent="0.25">
      <c r="B16" s="191" t="s">
        <v>243</v>
      </c>
      <c r="C16" s="192">
        <f>SUM(C17:C21)</f>
        <v>95276730</v>
      </c>
      <c r="D16" s="192">
        <f t="shared" ref="D16" si="2">SUM(D17:D21)</f>
        <v>88128375</v>
      </c>
      <c r="E16" s="192">
        <f t="shared" ref="E16" si="3">SUM(E17:E21)</f>
        <v>26027020</v>
      </c>
      <c r="F16" s="192">
        <f t="shared" ref="F16" si="4">SUM(F17:F21)</f>
        <v>4560617</v>
      </c>
      <c r="G16" s="192">
        <f t="shared" ref="G16" si="5">SUM(G17:G21)</f>
        <v>22315676</v>
      </c>
      <c r="H16" s="192">
        <f t="shared" ref="H16" si="6">SUM(H17:H21)</f>
        <v>5662537</v>
      </c>
      <c r="I16" s="192">
        <f t="shared" ref="I16" si="7">SUM(I17:I21)</f>
        <v>7477786</v>
      </c>
      <c r="J16" s="192">
        <f t="shared" ref="J16" si="8">SUM(J17:J21)</f>
        <v>6669781</v>
      </c>
      <c r="K16" s="192">
        <f t="shared" ref="K16" si="9">SUM(K17:K21)</f>
        <v>14809658</v>
      </c>
      <c r="L16" s="192">
        <f t="shared" ref="L16" si="10">SUM(L17:L21)</f>
        <v>270928180</v>
      </c>
      <c r="M16" s="468">
        <f>SUM(M17:M23)</f>
        <v>301575180</v>
      </c>
    </row>
    <row r="17" spans="2:14" ht="12" thickBot="1" x14ac:dyDescent="0.2">
      <c r="B17" s="191" t="s">
        <v>244</v>
      </c>
      <c r="C17" s="459">
        <f>SUM('App B.1 Budget'!G7+'App B.1 Budget'!G15+'App B.1 Budget'!G19+'App B.1 Budget'!G21)</f>
        <v>3907497</v>
      </c>
      <c r="D17" s="459">
        <f>SUM('App B.1 Budget'!G23+'App B.1 Budget'!G33)</f>
        <v>5411671</v>
      </c>
      <c r="E17" s="459">
        <f>SUM('App B.1 Budget'!G43+'App B.1 Budget'!G48)</f>
        <v>1809705</v>
      </c>
      <c r="F17" s="459">
        <f>SUM('App B.1 Budget'!G57)</f>
        <v>296917</v>
      </c>
      <c r="G17" s="459">
        <f>SUM('App B.1 Budget'!G81+'App B.1 Budget'!G109)</f>
        <v>1894864</v>
      </c>
      <c r="H17" s="459">
        <f>SUM('App B.1 Budget'!G67)</f>
        <v>470902</v>
      </c>
      <c r="I17" s="459">
        <f>SUM('App B.1 Budget'!G73)</f>
        <v>529553</v>
      </c>
      <c r="J17" s="459">
        <f>SUM('App B.1 Budget'!G77)</f>
        <v>398625</v>
      </c>
      <c r="K17" s="459">
        <f>SUM('App B.1 Budget'!G62)</f>
        <v>749502</v>
      </c>
      <c r="L17" s="459">
        <f>SUM(C17:K17)</f>
        <v>15469236</v>
      </c>
      <c r="M17" s="462">
        <f>SUM(L17)</f>
        <v>15469236</v>
      </c>
      <c r="N17" s="562">
        <f>SUM(M17/M16)</f>
        <v>5.1294791567396227E-2</v>
      </c>
    </row>
    <row r="18" spans="2:14" ht="12" thickBot="1" x14ac:dyDescent="0.2">
      <c r="B18" s="191" t="s">
        <v>245</v>
      </c>
      <c r="C18" s="459">
        <f>SUM('App B.1 Budget'!L7+'App B.1 Budget'!L15+'App B.1 Budget'!L19+'App B.1 Budget'!L21)</f>
        <v>2015907</v>
      </c>
      <c r="D18" s="459">
        <f>SUM('App B.1 Budget'!L23+'App B.1 Budget'!L33)</f>
        <v>905712</v>
      </c>
      <c r="E18" s="459">
        <f>SUM('App B.1 Budget'!L43+'App B.1 Budget'!L48)</f>
        <v>366707</v>
      </c>
      <c r="F18" s="459">
        <f>SUM('App B.1 Budget'!L57)</f>
        <v>16868</v>
      </c>
      <c r="G18" s="459">
        <f>SUM('App B.1 Budget'!L81+'App B.1 Budget'!L9)</f>
        <v>1298981</v>
      </c>
      <c r="H18" s="459">
        <f>SUM('App B.1 Budget'!L67)</f>
        <v>0</v>
      </c>
      <c r="I18" s="459">
        <f>SUM('App B.1 Budget'!L73)</f>
        <v>100000</v>
      </c>
      <c r="J18" s="459">
        <f>SUM('App B.1 Budget'!L77)</f>
        <v>282710</v>
      </c>
      <c r="K18" s="459">
        <f>SUM('App B.1 Budget'!L62)</f>
        <v>55443</v>
      </c>
      <c r="L18" s="459">
        <f>SUM(C18:K18)</f>
        <v>5042328</v>
      </c>
      <c r="M18" s="462">
        <f t="shared" ref="M18:M20" si="11">SUM(L18)</f>
        <v>5042328</v>
      </c>
      <c r="N18" s="562">
        <f>SUM(M18/M16)</f>
        <v>1.6719970124862399E-2</v>
      </c>
    </row>
    <row r="19" spans="2:14" ht="12" thickBot="1" x14ac:dyDescent="0.2">
      <c r="B19" s="458" t="s">
        <v>246</v>
      </c>
      <c r="C19" s="459">
        <f>SUM('App B.1 Budget'!Q7+'App B.1 Budget'!Q15+'App B.1 Budget'!Q19+'App B.1 Budget'!Q21)</f>
        <v>20934310</v>
      </c>
      <c r="D19" s="459">
        <f>SUM('App B.1 Budget'!Q23+'App B.1 Budget'!Q33)</f>
        <v>27000013</v>
      </c>
      <c r="E19" s="459">
        <f>SUM('App B.1 Budget'!Q43+'App B.1 Budget'!Q48)</f>
        <v>10398418</v>
      </c>
      <c r="F19" s="459">
        <f>SUM('App B.1 Budget'!Q57)</f>
        <v>2797209</v>
      </c>
      <c r="G19" s="459">
        <f>SUM('App B.1 Budget'!Q81+'App B.1 Budget'!Q109)</f>
        <v>11361503</v>
      </c>
      <c r="H19" s="459">
        <f>SUM('App B.1 Budget'!Q67)</f>
        <v>5191635</v>
      </c>
      <c r="I19" s="459">
        <f>SUM('App B.1 Budget'!Q73)</f>
        <v>6401983</v>
      </c>
      <c r="J19" s="459">
        <f>SUM('App B.1 Budget'!Q77)</f>
        <v>5890949</v>
      </c>
      <c r="K19" s="459">
        <f>SUM('App B.1 Budget'!Q62)</f>
        <v>14004713</v>
      </c>
      <c r="L19" s="459">
        <f>SUM(C19:K19)</f>
        <v>103980733</v>
      </c>
      <c r="M19" s="462">
        <f t="shared" si="11"/>
        <v>103980733</v>
      </c>
      <c r="N19" s="562">
        <f>SUM(M19/M16)</f>
        <v>0.34479207804833278</v>
      </c>
    </row>
    <row r="20" spans="2:14" ht="12" thickBot="1" x14ac:dyDescent="0.2">
      <c r="B20" s="463" t="s">
        <v>247</v>
      </c>
      <c r="C20" s="456">
        <f>SUM('App B.1 Budget'!V7+'App B.1 Budget'!V15+'App B.1 Budget'!V19+'App B.1 Budget'!V21)</f>
        <v>68419016</v>
      </c>
      <c r="D20" s="456">
        <f>SUM('App B.1 Budget'!V23+'App B.1 Budget'!V33)</f>
        <v>54810979</v>
      </c>
      <c r="E20" s="456">
        <f>SUM('App B.1 Budget'!V43+'App B.1 Budget'!V48)</f>
        <v>13452190</v>
      </c>
      <c r="F20" s="456">
        <f>SUM('App B.1 Budget'!V57)</f>
        <v>1449623</v>
      </c>
      <c r="G20" s="456">
        <f>SUM('App B.1 Budget'!V81+'App B.1 Budget'!V109)</f>
        <v>7760328</v>
      </c>
      <c r="H20" s="456">
        <f>SUM('App B.1 Budget'!V67)</f>
        <v>0</v>
      </c>
      <c r="I20" s="456">
        <f>SUM('App B.1 Budget'!V73)</f>
        <v>446250</v>
      </c>
      <c r="J20" s="456">
        <f>SUM('App B.1 Budget'!V77)</f>
        <v>97497</v>
      </c>
      <c r="K20" s="456">
        <f>SUM('App B.1 Budget'!V62)</f>
        <v>0</v>
      </c>
      <c r="L20" s="456">
        <f>SUM(C20:K20)</f>
        <v>146435883</v>
      </c>
      <c r="M20" s="461">
        <f t="shared" si="11"/>
        <v>146435883</v>
      </c>
      <c r="N20" s="562">
        <f>SUM(M20/M16)</f>
        <v>0.48557007576021344</v>
      </c>
    </row>
    <row r="21" spans="2:14" ht="12" thickBot="1" x14ac:dyDescent="0.2">
      <c r="B21" s="458" t="s">
        <v>494</v>
      </c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193">
        <f>SUM('App B.1 Budget'!AG122)</f>
        <v>3666575.0000000005</v>
      </c>
      <c r="N21" s="562">
        <f>SUM(M21+M22)/M16</f>
        <v>4.4211198017025138E-2</v>
      </c>
    </row>
    <row r="22" spans="2:14" ht="12" thickBot="1" x14ac:dyDescent="0.2">
      <c r="B22" s="442" t="s">
        <v>495</v>
      </c>
      <c r="C22" s="194"/>
      <c r="D22" s="194"/>
      <c r="E22" s="194"/>
      <c r="F22" s="194"/>
      <c r="G22" s="194"/>
      <c r="H22" s="194"/>
      <c r="I22" s="194"/>
      <c r="J22" s="194"/>
      <c r="K22" s="194"/>
      <c r="L22" s="455"/>
      <c r="M22" s="457">
        <f>SUM('App B.1 Budget'!AG121)</f>
        <v>9666425</v>
      </c>
    </row>
    <row r="23" spans="2:14" ht="12" thickBot="1" x14ac:dyDescent="0.2">
      <c r="B23" s="442" t="s">
        <v>195</v>
      </c>
      <c r="C23" s="194"/>
      <c r="D23" s="194"/>
      <c r="E23" s="194"/>
      <c r="F23" s="194"/>
      <c r="G23" s="194"/>
      <c r="H23" s="194"/>
      <c r="I23" s="194"/>
      <c r="J23" s="194"/>
      <c r="K23" s="194"/>
      <c r="L23" s="455"/>
      <c r="M23" s="457">
        <f>SUM('App B.1 Budget'!AG125)</f>
        <v>17314000</v>
      </c>
    </row>
    <row r="26" spans="2:14" ht="12" thickBot="1" x14ac:dyDescent="0.2"/>
    <row r="27" spans="2:14" ht="35.5" customHeight="1" thickBot="1" x14ac:dyDescent="0.2">
      <c r="B27" s="597" t="s">
        <v>522</v>
      </c>
      <c r="C27" s="465" t="s">
        <v>228</v>
      </c>
      <c r="D27" s="465" t="s">
        <v>229</v>
      </c>
      <c r="E27" s="465" t="s">
        <v>233</v>
      </c>
      <c r="F27" s="465" t="s">
        <v>230</v>
      </c>
      <c r="G27" s="465" t="s">
        <v>231</v>
      </c>
      <c r="H27" s="465" t="s">
        <v>223</v>
      </c>
      <c r="I27" s="465" t="s">
        <v>222</v>
      </c>
      <c r="J27" s="466" t="s">
        <v>224</v>
      </c>
      <c r="K27" s="465" t="s">
        <v>488</v>
      </c>
      <c r="L27" s="466" t="s">
        <v>489</v>
      </c>
      <c r="M27" s="465" t="s">
        <v>493</v>
      </c>
    </row>
    <row r="28" spans="2:14" ht="15" thickBot="1" x14ac:dyDescent="0.25">
      <c r="B28" s="191" t="s">
        <v>243</v>
      </c>
      <c r="C28" s="192">
        <f>SUM(C29:C33)</f>
        <v>93444250</v>
      </c>
      <c r="D28" s="192">
        <f t="shared" ref="D28:K28" si="12">SUM(D29:D33)</f>
        <v>84228790.200000003</v>
      </c>
      <c r="E28" s="192">
        <f t="shared" si="12"/>
        <v>25853261</v>
      </c>
      <c r="F28" s="192">
        <f t="shared" si="12"/>
        <v>3477021</v>
      </c>
      <c r="G28" s="192">
        <f t="shared" si="12"/>
        <v>23812946.399999999</v>
      </c>
      <c r="H28" s="192">
        <f t="shared" si="12"/>
        <v>5661248</v>
      </c>
      <c r="I28" s="192">
        <f t="shared" si="12"/>
        <v>7476487</v>
      </c>
      <c r="J28" s="192">
        <f t="shared" si="12"/>
        <v>4845105</v>
      </c>
      <c r="K28" s="192">
        <f t="shared" si="12"/>
        <v>1565166</v>
      </c>
      <c r="L28" s="192">
        <f>SUM(C28:K28)</f>
        <v>250364274.59999999</v>
      </c>
      <c r="M28" s="468">
        <f>SUM(M29:M35)</f>
        <v>278777369.60000002</v>
      </c>
    </row>
    <row r="29" spans="2:14" ht="12" thickBot="1" x14ac:dyDescent="0.2">
      <c r="B29" s="191" t="s">
        <v>244</v>
      </c>
      <c r="C29" s="459">
        <f>SUM('App B.1 Budget'!H7+'App B.1 Budget'!H15+'App B.1 Budget'!H19+'App B.1 Budget'!H21)</f>
        <v>4878799</v>
      </c>
      <c r="D29" s="459">
        <f>SUM('App B.1 Budget'!H23+'App B.1 Budget'!H33)</f>
        <v>5055182</v>
      </c>
      <c r="E29" s="459">
        <f>SUM('App B.1 Budget'!H43+'App B.1 Budget'!H48)</f>
        <v>1894433</v>
      </c>
      <c r="F29" s="459">
        <f>SUM('App B.1 Budget'!H57)</f>
        <v>254167</v>
      </c>
      <c r="G29" s="459">
        <f>SUM('App B.1 Budget'!H81+'App B.1 Budget'!H109)</f>
        <v>2133385</v>
      </c>
      <c r="H29" s="459">
        <f>SUM('App B.1 Budget'!H67)</f>
        <v>509158</v>
      </c>
      <c r="I29" s="459">
        <f>SUM('App B.1 Budget'!H73)</f>
        <v>487569</v>
      </c>
      <c r="J29" s="459">
        <f>SUM('App B.1 Budget'!H77)</f>
        <v>291187</v>
      </c>
      <c r="K29" s="459">
        <f>SUM('App B.1 Budget'!H62)</f>
        <v>180728</v>
      </c>
      <c r="L29" s="459">
        <f>SUM(C29:K29)</f>
        <v>15684608</v>
      </c>
      <c r="M29" s="462">
        <f>SUM(L29)</f>
        <v>15684608</v>
      </c>
      <c r="N29" s="562">
        <f>SUM(M29/M28)</f>
        <v>5.6262127813691797E-2</v>
      </c>
    </row>
    <row r="30" spans="2:14" ht="12" thickBot="1" x14ac:dyDescent="0.2">
      <c r="B30" s="191" t="s">
        <v>245</v>
      </c>
      <c r="C30" s="459">
        <f>SUM('App B.1 Budget'!M7+'App B.1 Budget'!M15+'App B.1 Budget'!M19+'App B.1 Budget'!M21)</f>
        <v>1991599</v>
      </c>
      <c r="D30" s="459">
        <f>SUM('App B.1 Budget'!M23+'App B.1 Budget'!M33)</f>
        <v>662116</v>
      </c>
      <c r="E30" s="459">
        <f>SUM('App B.1 Budget'!M43+'App B.1 Budget'!M48)</f>
        <v>349943</v>
      </c>
      <c r="F30" s="459">
        <f>SUM('App B.1 Budget'!M57)</f>
        <v>17379</v>
      </c>
      <c r="G30" s="459">
        <f>SUM('App B.1 Budget'!M81+'App B.1 Budget'!M109)</f>
        <v>336168</v>
      </c>
      <c r="H30" s="459">
        <f>SUM('App B.1 Budget'!M67)</f>
        <v>0</v>
      </c>
      <c r="I30" s="459">
        <f>SUM('App B.1 Budget'!M73)</f>
        <v>103009</v>
      </c>
      <c r="J30" s="459">
        <f>SUM('App B.1 Budget'!M77)</f>
        <v>0</v>
      </c>
      <c r="K30" s="459">
        <f>SUM('App B.1 Budget'!M62)</f>
        <v>45398</v>
      </c>
      <c r="L30" s="459">
        <f>SUM(C30:K30)</f>
        <v>3505612</v>
      </c>
      <c r="M30" s="462">
        <f t="shared" ref="M30:M32" si="13">SUM(L30)</f>
        <v>3505612</v>
      </c>
      <c r="N30" s="562">
        <f>SUM(M30/M28)</f>
        <v>1.2574951851471949E-2</v>
      </c>
    </row>
    <row r="31" spans="2:14" ht="12" thickBot="1" x14ac:dyDescent="0.2">
      <c r="B31" s="458" t="s">
        <v>246</v>
      </c>
      <c r="C31" s="459">
        <f>SUM('App B.1 Budget'!R7+'App B.1 Budget'!R15+'App B.1 Budget'!R19+'App B.1 Budget'!R21)</f>
        <v>16094536</v>
      </c>
      <c r="D31" s="459">
        <f>SUM('App B.1 Budget'!R23+'App B.1 Budget'!R33)</f>
        <v>27781940</v>
      </c>
      <c r="E31" s="459">
        <f>SUM('App B.1 Budget'!R43+'App B.1 Budget'!R48)</f>
        <v>12088819</v>
      </c>
      <c r="F31" s="459">
        <f>SUM('App B.1 Budget'!R57)</f>
        <v>2741393</v>
      </c>
      <c r="G31" s="459">
        <f>SUM('App B.1 Budget'!R81+'App B.1 Budget'!R109)</f>
        <v>9998747</v>
      </c>
      <c r="H31" s="459">
        <f>SUM('App B.1 Budget'!R67)</f>
        <v>5152090</v>
      </c>
      <c r="I31" s="459">
        <f>SUM('App B.1 Budget'!R73)</f>
        <v>6885909</v>
      </c>
      <c r="J31" s="459">
        <f>SUM('App B.1 Budget'!R77)</f>
        <v>4553918</v>
      </c>
      <c r="K31" s="459">
        <f>SUM('App B.1 Budget'!R62)</f>
        <v>1339040</v>
      </c>
      <c r="L31" s="459">
        <f>SUM(C31:K31)</f>
        <v>86636392</v>
      </c>
      <c r="M31" s="462">
        <f t="shared" si="13"/>
        <v>86636392</v>
      </c>
      <c r="N31" s="562">
        <f>SUM(M31/M28)</f>
        <v>0.31077268619152648</v>
      </c>
    </row>
    <row r="32" spans="2:14" ht="12" thickBot="1" x14ac:dyDescent="0.2">
      <c r="B32" s="463" t="s">
        <v>247</v>
      </c>
      <c r="C32" s="456">
        <f>SUM('App B.1 Budget'!W7+'App B.1 Budget'!W15+'App B.1 Budget'!W19+'App B.1 Budget'!W21)</f>
        <v>70479316</v>
      </c>
      <c r="D32" s="456">
        <f>SUM('App B.1 Budget'!W23+'App B.1 Budget'!W33)</f>
        <v>50729552.200000003</v>
      </c>
      <c r="E32" s="456">
        <f>SUM('App B.1 Budget'!W43+'App B.1 Budget'!W48)</f>
        <v>11520066</v>
      </c>
      <c r="F32" s="456">
        <f>SUM('App B.1 Budget'!W57)</f>
        <v>464082</v>
      </c>
      <c r="G32" s="456">
        <f>SUM('App B.1 Budget'!W81+'App B.1 Budget'!W109)</f>
        <v>11344646.4</v>
      </c>
      <c r="H32" s="456">
        <f>SUM('App B.1 Budget'!W67)</f>
        <v>0</v>
      </c>
      <c r="I32" s="456">
        <f>SUM('App B.1 Budget'!W73)</f>
        <v>0</v>
      </c>
      <c r="J32" s="456">
        <f>SUM('App B.1 Budget'!W77)</f>
        <v>0</v>
      </c>
      <c r="K32" s="456">
        <f>SUM('App B.1 Budget'!W62)</f>
        <v>0</v>
      </c>
      <c r="L32" s="456">
        <f>SUM(C32:K32)</f>
        <v>144537662.59999999</v>
      </c>
      <c r="M32" s="461">
        <f t="shared" si="13"/>
        <v>144537662.59999999</v>
      </c>
      <c r="N32" s="562">
        <f>SUM(M32/M28)</f>
        <v>0.51846985573968185</v>
      </c>
    </row>
    <row r="33" spans="2:17" ht="12" thickBot="1" x14ac:dyDescent="0.2">
      <c r="B33" s="458" t="s">
        <v>494</v>
      </c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193">
        <f>SUM('App B.1 Budget'!AH122)</f>
        <v>4460438</v>
      </c>
      <c r="N33" s="562">
        <f>SUM(M33+M34)/M28</f>
        <v>4.0000000774811813E-2</v>
      </c>
    </row>
    <row r="34" spans="2:17" ht="12" thickBot="1" x14ac:dyDescent="0.2">
      <c r="B34" s="442" t="s">
        <v>495</v>
      </c>
      <c r="C34" s="194"/>
      <c r="D34" s="194"/>
      <c r="E34" s="194"/>
      <c r="F34" s="194"/>
      <c r="G34" s="194"/>
      <c r="H34" s="194"/>
      <c r="I34" s="194"/>
      <c r="J34" s="194"/>
      <c r="K34" s="194"/>
      <c r="L34" s="455"/>
      <c r="M34" s="457">
        <f>SUM('App B.1 Budget'!AH121)</f>
        <v>6690657</v>
      </c>
      <c r="N34" s="562"/>
    </row>
    <row r="35" spans="2:17" ht="12" thickBot="1" x14ac:dyDescent="0.2">
      <c r="B35" s="442" t="s">
        <v>195</v>
      </c>
      <c r="C35" s="194"/>
      <c r="D35" s="194"/>
      <c r="E35" s="194"/>
      <c r="F35" s="194"/>
      <c r="G35" s="194"/>
      <c r="H35" s="194"/>
      <c r="I35" s="194"/>
      <c r="J35" s="194"/>
      <c r="K35" s="194"/>
      <c r="L35" s="455"/>
      <c r="M35" s="457">
        <f>SUM('App B.1 Budget'!AH125)</f>
        <v>17262000</v>
      </c>
    </row>
    <row r="36" spans="2:17" x14ac:dyDescent="0.15">
      <c r="O36" s="444"/>
    </row>
    <row r="38" spans="2:17" ht="12" thickBot="1" x14ac:dyDescent="0.2"/>
    <row r="39" spans="2:17" ht="34.75" customHeight="1" thickBot="1" x14ac:dyDescent="0.2">
      <c r="B39" s="464" t="s">
        <v>519</v>
      </c>
      <c r="C39" s="465" t="s">
        <v>228</v>
      </c>
      <c r="D39" s="465" t="s">
        <v>229</v>
      </c>
      <c r="E39" s="465" t="s">
        <v>233</v>
      </c>
      <c r="F39" s="465" t="s">
        <v>230</v>
      </c>
      <c r="G39" s="465" t="s">
        <v>231</v>
      </c>
      <c r="H39" s="465" t="s">
        <v>223</v>
      </c>
      <c r="I39" s="465" t="s">
        <v>222</v>
      </c>
      <c r="J39" s="466" t="s">
        <v>224</v>
      </c>
      <c r="K39" s="465" t="s">
        <v>488</v>
      </c>
      <c r="L39" s="466" t="s">
        <v>489</v>
      </c>
      <c r="M39" s="465" t="s">
        <v>493</v>
      </c>
      <c r="O39" s="190" t="s">
        <v>593</v>
      </c>
    </row>
    <row r="40" spans="2:17" ht="15" thickBot="1" x14ac:dyDescent="0.25">
      <c r="B40" s="191" t="s">
        <v>243</v>
      </c>
      <c r="C40" s="603">
        <f>C41+C44+C45+C48</f>
        <v>68386141.134457797</v>
      </c>
      <c r="D40" s="604">
        <f t="shared" ref="D40:J40" si="14">D41+D44+D45+D48</f>
        <v>85398136.185506374</v>
      </c>
      <c r="E40" s="603">
        <f t="shared" si="14"/>
        <v>27638909.010090277</v>
      </c>
      <c r="F40" s="603">
        <f t="shared" si="14"/>
        <v>3088646.9299984584</v>
      </c>
      <c r="G40" s="192">
        <f t="shared" si="14"/>
        <v>18955848.672554109</v>
      </c>
      <c r="H40" s="192">
        <f t="shared" si="14"/>
        <v>5661247.9999983516</v>
      </c>
      <c r="I40" s="192">
        <f>I41+I44+I45+I48</f>
        <v>7476487</v>
      </c>
      <c r="J40" s="192">
        <f t="shared" si="14"/>
        <v>4845106.2489582598</v>
      </c>
      <c r="K40" s="192">
        <f>K41+K44+K45+K48</f>
        <v>1565166</v>
      </c>
      <c r="L40" s="192">
        <f>L41+L44+L45+L48</f>
        <v>223015689.18156362</v>
      </c>
      <c r="M40" s="607">
        <f>M41+M44+M45+M48+M49+M50+M51</f>
        <v>250289259.56412879</v>
      </c>
      <c r="N40" s="444"/>
      <c r="O40" s="190" t="s">
        <v>227</v>
      </c>
      <c r="P40" s="190" t="b">
        <f>L40=SUM(C40:K40)</f>
        <v>1</v>
      </c>
    </row>
    <row r="41" spans="2:17" ht="12" thickBot="1" x14ac:dyDescent="0.2">
      <c r="B41" s="191" t="s">
        <v>592</v>
      </c>
      <c r="C41" s="605">
        <f>SUM(C42:C43)</f>
        <v>4104494.3184040692</v>
      </c>
      <c r="D41" s="606">
        <f t="shared" ref="D41:J41" si="15">SUM(D42:D43)</f>
        <v>5168217.0034213224</v>
      </c>
      <c r="E41" s="605">
        <f t="shared" si="15"/>
        <v>1882858.0853132904</v>
      </c>
      <c r="F41" s="605">
        <f t="shared" si="15"/>
        <v>247433.54167880031</v>
      </c>
      <c r="G41" s="459">
        <f t="shared" si="15"/>
        <v>1886148.3690861508</v>
      </c>
      <c r="H41" s="459">
        <f t="shared" si="15"/>
        <v>509157.9999998518</v>
      </c>
      <c r="I41" s="459">
        <v>487569</v>
      </c>
      <c r="J41" s="459">
        <f t="shared" si="15"/>
        <v>291187.8178777165</v>
      </c>
      <c r="K41" s="459">
        <v>180728</v>
      </c>
      <c r="L41" s="459">
        <f>SUM(C41:K41)</f>
        <v>14757794.135781202</v>
      </c>
      <c r="M41" s="602">
        <f>L41</f>
        <v>14757794.135781202</v>
      </c>
      <c r="N41" s="444"/>
      <c r="O41" s="600" t="s">
        <v>594</v>
      </c>
      <c r="P41" s="190" t="b">
        <f>0.04*M40=SUM(M49:M50)</f>
        <v>1</v>
      </c>
      <c r="Q41" s="595"/>
    </row>
    <row r="42" spans="2:17" ht="12" hidden="1" outlineLevel="1" thickBot="1" x14ac:dyDescent="0.2">
      <c r="B42" s="598" t="s">
        <v>554</v>
      </c>
      <c r="C42" s="605">
        <f>SUMIF('Program Savings Changes 2018 '!$B$2:$B$83,'Portfolio Budget'!C39,'Program Savings Changes 2018 '!$O$2:$O$83)</f>
        <v>2439608.1887266086</v>
      </c>
      <c r="D42" s="606">
        <f>SUMIF('Program Savings Changes 2018 '!$B$2:$B$83,'Portfolio Budget'!D39,'Program Savings Changes 2018 '!$O$2:$O$83)</f>
        <v>3927195.8756782217</v>
      </c>
      <c r="E42" s="605">
        <f>SUMIF('Program Savings Changes 2018 '!$B$2:$B$83,'Portfolio Budget'!E39,'Program Savings Changes 2018 '!$O$2:$O$83)</f>
        <v>1194829.9102047286</v>
      </c>
      <c r="F42" s="605">
        <f>SUMIF('Program Savings Changes 2018 '!$B$2:$B$83,'Portfolio Budget'!F39,'Program Savings Changes 2018 '!$O$2:$O$83)</f>
        <v>157649.6602455005</v>
      </c>
      <c r="G42" s="459">
        <f>SUMIF('Program Savings Changes 2018 '!$B$2:$B$83,'Portfolio Budget'!G39,'Program Savings Changes 2018 '!$O$2:$O$83)</f>
        <v>1273300.6954764831</v>
      </c>
      <c r="H42" s="459">
        <f>SUMIF('Program Savings Changes 2018 '!$B$2:$B$83,'Portfolio Budget'!H39,'Program Savings Changes 2018 '!$O$2:$O$83)</f>
        <v>228971.94744123559</v>
      </c>
      <c r="I42" s="459"/>
      <c r="J42" s="459">
        <f>SUMIF('Program Savings Changes 2018 '!$B$2:$B$83,'Portfolio Budget'!J39,'Program Savings Changes 2018 '!$O$2:$O$83)</f>
        <v>197300.8178777165</v>
      </c>
      <c r="K42" s="459"/>
      <c r="L42" s="459"/>
      <c r="M42" s="602"/>
      <c r="N42" s="444"/>
      <c r="O42" s="444"/>
      <c r="Q42" s="595"/>
    </row>
    <row r="43" spans="2:17" ht="12" hidden="1" outlineLevel="1" thickBot="1" x14ac:dyDescent="0.2">
      <c r="B43" s="598" t="s">
        <v>555</v>
      </c>
      <c r="C43" s="605">
        <f>SUMIF('Program Savings Changes 2018 '!$B$2:$B$83,'Portfolio Budget'!C39,'Program Savings Changes 2018 '!$P$2:$P$83)</f>
        <v>1664886.1296774605</v>
      </c>
      <c r="D43" s="606">
        <f>SUMIF('Program Savings Changes 2018 '!$B$2:$B$83,'Portfolio Budget'!D39,'Program Savings Changes 2018 '!$P$2:$P$83)</f>
        <v>1241021.1277431005</v>
      </c>
      <c r="E43" s="605">
        <f>SUMIF('Program Savings Changes 2018 '!$B$2:$B$83,'Portfolio Budget'!E39,'Program Savings Changes 2018 '!$P$2:$P$83)</f>
        <v>688028.17510856176</v>
      </c>
      <c r="F43" s="605">
        <f>SUMIF('Program Savings Changes 2018 '!$B$2:$B$83,'Portfolio Budget'!F39,'Program Savings Changes 2018 '!$P$2:$P$83)</f>
        <v>89783.881433299786</v>
      </c>
      <c r="G43" s="459">
        <f>SUMIF('Program Savings Changes 2018 '!$B$2:$B$83,'Portfolio Budget'!G39,'Program Savings Changes 2018 '!$P$2:$P$83)</f>
        <v>612847.67360966769</v>
      </c>
      <c r="H43" s="459">
        <f>SUMIF('Program Savings Changes 2018 '!$B$2:$B$83,'Portfolio Budget'!H39,'Program Savings Changes 2018 '!$P$2:$P$83)</f>
        <v>280186.05255861621</v>
      </c>
      <c r="I43" s="459"/>
      <c r="J43" s="459">
        <f>SUMIF('Program Savings Changes 2018 '!$B$2:$B$83,'Portfolio Budget'!J39,'Program Savings Changes 2018 '!$P$2:$P$83)</f>
        <v>93887</v>
      </c>
      <c r="K43" s="459"/>
      <c r="L43" s="459"/>
      <c r="M43" s="602"/>
      <c r="N43" s="444"/>
      <c r="O43" s="444"/>
      <c r="Q43" s="595"/>
    </row>
    <row r="44" spans="2:17" ht="12" collapsed="1" thickBot="1" x14ac:dyDescent="0.2">
      <c r="B44" s="191" t="s">
        <v>245</v>
      </c>
      <c r="C44" s="605">
        <f>SUMIF('Program Savings Changes 2018 '!$B$2:$B$83,'Portfolio Budget'!C39,'Program Savings Changes 2018 '!$Q$2:$Q$83)</f>
        <v>1800677.6513078485</v>
      </c>
      <c r="D44" s="606">
        <f>SUMIF('Program Savings Changes 2018 '!$B$2:$B$83,'Portfolio Budget'!D39,'Program Savings Changes 2018 '!$Q$2:$Q$83)</f>
        <v>698366.0271206795</v>
      </c>
      <c r="E44" s="605">
        <f>SUMIF('Program Savings Changes 2018 '!$B$2:$B$83,'Portfolio Budget'!E39,'Program Savings Changes 2018 '!$Q$2:$Q$83)</f>
        <v>347805.36235120281</v>
      </c>
      <c r="F44" s="605">
        <f>SUMIF('Program Savings Changes 2018 '!$B$2:$B$83,'Portfolio Budget'!F39,'Program Savings Changes 2018 '!$Q$2:$Q$83)</f>
        <v>16918.04741302408</v>
      </c>
      <c r="G44" s="459">
        <f>SUMIF('Program Savings Changes 2018 '!$B$2:$B$83,'Portfolio Budget'!G39,'Program Savings Changes 2018 '!$Q$2:$Q$83)</f>
        <v>297209.40914314456</v>
      </c>
      <c r="H44" s="459">
        <f>SUMIF('Program Savings Changes 2018 '!$B$2:$B$83,'Portfolio Budget'!H39,'Program Savings Changes 2018 '!$Q$2:$Q$83)</f>
        <v>0</v>
      </c>
      <c r="I44" s="459">
        <v>103009</v>
      </c>
      <c r="J44" s="459">
        <f>SUMIF('Program Savings Changes 2018 '!$B$2:$B$83,'Portfolio Budget'!J39,'Program Savings Changes 2018 '!$Q$2:$Q$83)</f>
        <v>0</v>
      </c>
      <c r="K44" s="459">
        <v>45398</v>
      </c>
      <c r="L44" s="459">
        <f>SUM(C44:K44)</f>
        <v>3309383.4973358996</v>
      </c>
      <c r="M44" s="602">
        <f>L44</f>
        <v>3309383.4973358996</v>
      </c>
      <c r="N44" s="444"/>
      <c r="O44" s="190" t="s">
        <v>595</v>
      </c>
      <c r="P44" s="190" t="e">
        <f>L40=#REF!</f>
        <v>#REF!</v>
      </c>
      <c r="Q44" s="444"/>
    </row>
    <row r="45" spans="2:17" ht="12" thickBot="1" x14ac:dyDescent="0.2">
      <c r="B45" s="458" t="s">
        <v>246</v>
      </c>
      <c r="C45" s="605">
        <f>SUM(C46:C47)</f>
        <v>17163753.797245439</v>
      </c>
      <c r="D45" s="606">
        <f t="shared" ref="D45:J45" si="16">SUM(D46:D47)</f>
        <v>28634955.084534019</v>
      </c>
      <c r="E45" s="605">
        <f t="shared" si="16"/>
        <v>11814859.362378754</v>
      </c>
      <c r="F45" s="605">
        <f t="shared" si="16"/>
        <v>2568773.1028390178</v>
      </c>
      <c r="G45" s="459">
        <f t="shared" si="16"/>
        <v>8739997.7242348716</v>
      </c>
      <c r="H45" s="459">
        <f t="shared" si="16"/>
        <v>5152089.9999984996</v>
      </c>
      <c r="I45" s="459">
        <v>6885909</v>
      </c>
      <c r="J45" s="459">
        <f t="shared" si="16"/>
        <v>4553918.4310805434</v>
      </c>
      <c r="K45" s="459">
        <v>1339040</v>
      </c>
      <c r="L45" s="459">
        <f>SUM(C45:K45)</f>
        <v>86853296.502311155</v>
      </c>
      <c r="M45" s="602">
        <f>L45</f>
        <v>86853296.502311155</v>
      </c>
      <c r="N45" s="444"/>
      <c r="Q45" s="595"/>
    </row>
    <row r="46" spans="2:17" ht="10.75" hidden="1" customHeight="1" outlineLevel="1" thickBot="1" x14ac:dyDescent="0.2">
      <c r="B46" s="599" t="s">
        <v>557</v>
      </c>
      <c r="C46" s="605">
        <f>SUMIF('Program Savings Changes 2018 '!$B$2:$B$83,'Portfolio Budget'!C39,'Program Savings Changes 2018 '!$R$2:$R$83)</f>
        <v>15657534.371311124</v>
      </c>
      <c r="D46" s="606">
        <f>SUMIF('Program Savings Changes 2018 '!$B$2:$B$83,'Portfolio Budget'!D39,'Program Savings Changes 2018 '!$R$2:$R$83)</f>
        <v>26269736.371472288</v>
      </c>
      <c r="E46" s="605">
        <f>SUMIF('Program Savings Changes 2018 '!$B$2:$B$83,'Portfolio Budget'!E39,'Program Savings Changes 2018 '!$R$2:$R$83)</f>
        <v>11306054.990662638</v>
      </c>
      <c r="F46" s="605">
        <f>SUMIF('Program Savings Changes 2018 '!$B$2:$B$83,'Portfolio Budget'!F39,'Program Savings Changes 2018 '!$R$2:$R$83)</f>
        <v>2513650.7454979848</v>
      </c>
      <c r="G46" s="459">
        <f>SUMIF('Program Savings Changes 2018 '!$B$2:$B$83,'Portfolio Budget'!G39,'Program Savings Changes 2018 '!$R$2:$R$83)</f>
        <v>8548767.5895061921</v>
      </c>
      <c r="H46" s="459">
        <f>SUMIF('Program Savings Changes 2018 '!$B$2:$B$83,'Portfolio Budget'!H39,'Program Savings Changes 2018 '!$R$2:$R$83)</f>
        <v>5152089.9999984996</v>
      </c>
      <c r="I46" s="459"/>
      <c r="J46" s="459">
        <f>SUMIF('Program Savings Changes 2018 '!$B$2:$B$83,'Portfolio Budget'!J39,'Program Savings Changes 2018 '!$R$2:$R$83)</f>
        <v>4553918.4310805434</v>
      </c>
      <c r="K46" s="459"/>
      <c r="L46" s="459"/>
      <c r="M46" s="602"/>
      <c r="N46" s="444"/>
      <c r="Q46" s="595"/>
    </row>
    <row r="47" spans="2:17" ht="10.75" hidden="1" customHeight="1" outlineLevel="1" thickBot="1" x14ac:dyDescent="0.2">
      <c r="B47" s="599" t="s">
        <v>560</v>
      </c>
      <c r="C47" s="605">
        <f>SUMIF('Program Savings Changes 2018 '!$B$2:$B$83,'Portfolio Budget'!C39,'Program Savings Changes 2018 '!$U$2:$U$83)</f>
        <v>1506219.4259343138</v>
      </c>
      <c r="D47" s="606">
        <f>SUMIF('Program Savings Changes 2018 '!$B$2:$B$83,'Portfolio Budget'!D39,'Program Savings Changes 2018 '!$U$2:$U$83)</f>
        <v>2365218.7130617304</v>
      </c>
      <c r="E47" s="605">
        <f>SUMIF('Program Savings Changes 2018 '!$B$2:$B$83,'Portfolio Budget'!E39,'Program Savings Changes 2018 '!$U$2:$U$83)</f>
        <v>508804.37171611487</v>
      </c>
      <c r="F47" s="605">
        <f>SUMIF('Program Savings Changes 2018 '!$B$2:$B$83,'Portfolio Budget'!F39,'Program Savings Changes 2018 '!$U$2:$U$83)</f>
        <v>55122.357341033101</v>
      </c>
      <c r="G47" s="459">
        <f>SUMIF('Program Savings Changes 2018 '!$B$2:$B$83,'Portfolio Budget'!G39,'Program Savings Changes 2018 '!$U$2:$U$83)</f>
        <v>191230.134728679</v>
      </c>
      <c r="H47" s="459">
        <f>SUMIF('Program Savings Changes 2018 '!$B$2:$B$83,'Portfolio Budget'!H39,'Program Savings Changes 2018 '!$U$2:$U$83)</f>
        <v>0</v>
      </c>
      <c r="I47" s="459"/>
      <c r="J47" s="459">
        <f>SUMIF('Program Savings Changes 2018 '!$B$2:$B$83,'Portfolio Budget'!J39,'Program Savings Changes 2018 '!$U$2:$U$83)</f>
        <v>0</v>
      </c>
      <c r="K47" s="459"/>
      <c r="L47" s="459"/>
      <c r="M47" s="602"/>
      <c r="N47" s="444"/>
      <c r="Q47" s="595"/>
    </row>
    <row r="48" spans="2:17" ht="12" collapsed="1" thickBot="1" x14ac:dyDescent="0.2">
      <c r="B48" s="463" t="s">
        <v>247</v>
      </c>
      <c r="C48" s="605">
        <f>SUMIF('Program Savings Changes 2018 '!$B$2:$B$83,'Portfolio Budget'!C39,'Program Savings Changes 2018 '!$M$2:$M$83)</f>
        <v>45317215.367500439</v>
      </c>
      <c r="D48" s="606">
        <f>SUMIF('Program Savings Changes 2018 '!$B$2:$B$83,'Portfolio Budget'!D39,'Program Savings Changes 2018 '!$M$2:$M$83)</f>
        <v>50896598.070430346</v>
      </c>
      <c r="E48" s="605">
        <f>SUMIF('Program Savings Changes 2018 '!$B$2:$B$83,'Portfolio Budget'!E39,'Program Savings Changes 2018 '!$M$2:$M$83)</f>
        <v>13593386.200047029</v>
      </c>
      <c r="F48" s="605">
        <f>SUMIF('Program Savings Changes 2018 '!$B$2:$B$83,'Portfolio Budget'!F39,'Program Savings Changes 2018 '!$M$2:$M$83)</f>
        <v>255522.23806761601</v>
      </c>
      <c r="G48" s="459">
        <f>SUMIF('Program Savings Changes 2018 '!$B$2:$B$83,'Portfolio Budget'!G39,'Program Savings Changes 2018 '!$M$2:$M$83)</f>
        <v>8032493.1700899405</v>
      </c>
      <c r="H48" s="459">
        <f>SUMIF('Program Savings Changes 2018 '!$B$2:$B$83,'Portfolio Budget'!H39,'Program Savings Changes 2018 '!$M$2:$M$83)</f>
        <v>0</v>
      </c>
      <c r="I48" s="459">
        <v>0</v>
      </c>
      <c r="J48" s="459">
        <f>SUMIF('Program Savings Changes 2018 '!$B$2:$B$83,'Portfolio Budget'!J39,'Program Savings Changes 2018 '!$M$2:$M$83)</f>
        <v>0</v>
      </c>
      <c r="K48" s="459">
        <v>0</v>
      </c>
      <c r="L48" s="459">
        <f>SUM(C48:K48)</f>
        <v>118095215.04613538</v>
      </c>
      <c r="M48" s="602">
        <f>L48</f>
        <v>118095215.04613538</v>
      </c>
      <c r="N48" s="444"/>
    </row>
    <row r="49" spans="2:16" ht="12" thickBot="1" x14ac:dyDescent="0.2">
      <c r="B49" s="458" t="s">
        <v>494</v>
      </c>
      <c r="C49" s="605"/>
      <c r="D49" s="605"/>
      <c r="E49" s="605"/>
      <c r="F49" s="605"/>
      <c r="G49" s="459"/>
      <c r="H49" s="459"/>
      <c r="I49" s="459"/>
      <c r="J49" s="459"/>
      <c r="K49" s="459"/>
      <c r="L49" s="459"/>
      <c r="M49" s="608">
        <f>(L40+M51)/0.96*0.04*0.4</f>
        <v>4004628.1530260611</v>
      </c>
      <c r="N49" s="562">
        <f>SUM(M49+M50)/M40</f>
        <v>0.04</v>
      </c>
      <c r="P49" s="444"/>
    </row>
    <row r="50" spans="2:16" ht="12" thickBot="1" x14ac:dyDescent="0.2">
      <c r="B50" s="442" t="s">
        <v>495</v>
      </c>
      <c r="C50" s="194"/>
      <c r="D50" s="194"/>
      <c r="E50" s="194"/>
      <c r="F50" s="194"/>
      <c r="G50" s="194"/>
      <c r="H50" s="194"/>
      <c r="I50" s="194"/>
      <c r="J50" s="194"/>
      <c r="K50" s="194"/>
      <c r="L50" s="455"/>
      <c r="M50" s="609">
        <f>(L40+M51)/0.96*0.04*0.6</f>
        <v>6006942.2295390908</v>
      </c>
      <c r="N50" s="596"/>
      <c r="P50" s="595"/>
    </row>
    <row r="51" spans="2:16" ht="12" thickBot="1" x14ac:dyDescent="0.2">
      <c r="B51" s="442" t="s">
        <v>195</v>
      </c>
      <c r="C51" s="194"/>
      <c r="D51" s="194"/>
      <c r="E51" s="194"/>
      <c r="F51" s="194"/>
      <c r="G51" s="194"/>
      <c r="H51" s="194"/>
      <c r="I51" s="194"/>
      <c r="J51" s="194"/>
      <c r="K51" s="194"/>
      <c r="L51" s="455"/>
      <c r="M51" s="457">
        <f>M35</f>
        <v>17262000</v>
      </c>
      <c r="P51" s="595"/>
    </row>
    <row r="52" spans="2:16" hidden="1" x14ac:dyDescent="0.15">
      <c r="C52" s="190" t="s">
        <v>518</v>
      </c>
      <c r="J52" s="559" t="s">
        <v>514</v>
      </c>
      <c r="P52" s="595"/>
    </row>
    <row r="53" spans="2:16" hidden="1" x14ac:dyDescent="0.15">
      <c r="C53" s="190" t="s">
        <v>515</v>
      </c>
      <c r="J53" s="559"/>
    </row>
    <row r="54" spans="2:16" hidden="1" x14ac:dyDescent="0.15">
      <c r="C54" s="190" t="s">
        <v>523</v>
      </c>
      <c r="J54" s="559"/>
    </row>
    <row r="55" spans="2:16" hidden="1" x14ac:dyDescent="0.15">
      <c r="J55" s="559"/>
    </row>
    <row r="56" spans="2:16" hidden="1" x14ac:dyDescent="0.15">
      <c r="J56" s="559"/>
    </row>
    <row r="57" spans="2:16" x14ac:dyDescent="0.15">
      <c r="J57" s="559"/>
    </row>
    <row r="59" spans="2:16" ht="12" thickBot="1" x14ac:dyDescent="0.2"/>
    <row r="60" spans="2:16" ht="34.75" customHeight="1" thickBot="1" x14ac:dyDescent="0.2">
      <c r="B60" s="464" t="s">
        <v>520</v>
      </c>
      <c r="C60" s="465" t="s">
        <v>228</v>
      </c>
      <c r="D60" s="465" t="s">
        <v>229</v>
      </c>
      <c r="E60" s="465" t="s">
        <v>233</v>
      </c>
      <c r="F60" s="465" t="s">
        <v>230</v>
      </c>
      <c r="G60" s="465" t="s">
        <v>231</v>
      </c>
      <c r="H60" s="465" t="s">
        <v>223</v>
      </c>
      <c r="I60" s="465" t="s">
        <v>222</v>
      </c>
      <c r="J60" s="466" t="s">
        <v>224</v>
      </c>
      <c r="K60" s="465" t="s">
        <v>488</v>
      </c>
      <c r="L60" s="466" t="s">
        <v>489</v>
      </c>
      <c r="M60" s="465" t="s">
        <v>493</v>
      </c>
      <c r="O60" s="190" t="s">
        <v>593</v>
      </c>
    </row>
    <row r="61" spans="2:16" ht="15" thickBot="1" x14ac:dyDescent="0.25">
      <c r="B61" s="191" t="s">
        <v>243</v>
      </c>
      <c r="C61" s="192">
        <f t="shared" ref="C61:L61" si="17">C62+C65+C66+C69</f>
        <v>83269166.684054151</v>
      </c>
      <c r="D61" s="612">
        <f t="shared" si="17"/>
        <v>87960080.271071434</v>
      </c>
      <c r="E61" s="192">
        <f t="shared" si="17"/>
        <v>28468076.28039299</v>
      </c>
      <c r="F61" s="192">
        <f t="shared" si="17"/>
        <v>3181306.337898409</v>
      </c>
      <c r="G61" s="192">
        <f t="shared" si="17"/>
        <v>19524524.132730737</v>
      </c>
      <c r="H61" s="192">
        <f t="shared" si="17"/>
        <v>5831085.4399983026</v>
      </c>
      <c r="I61" s="192">
        <f t="shared" si="17"/>
        <v>7700781.6100000003</v>
      </c>
      <c r="J61" s="192">
        <f t="shared" si="17"/>
        <v>4990459.4364270074</v>
      </c>
      <c r="K61" s="192">
        <f t="shared" si="17"/>
        <v>1612120.98</v>
      </c>
      <c r="L61" s="192">
        <f t="shared" si="17"/>
        <v>242537601.17257303</v>
      </c>
      <c r="M61" s="607">
        <f>SUM(M62:M72)</f>
        <v>270624584.55476356</v>
      </c>
      <c r="O61" s="190" t="s">
        <v>227</v>
      </c>
      <c r="P61" s="190" t="b">
        <f>L61=SUM(C61:K61)</f>
        <v>1</v>
      </c>
    </row>
    <row r="62" spans="2:16" ht="12" thickBot="1" x14ac:dyDescent="0.2">
      <c r="B62" s="191" t="s">
        <v>244</v>
      </c>
      <c r="C62" s="459">
        <f t="shared" ref="C62:H62" si="18">SUM(C63:C64)</f>
        <v>6167629.1479561897</v>
      </c>
      <c r="D62" s="602">
        <f t="shared" si="18"/>
        <v>5323263.5135239549</v>
      </c>
      <c r="E62" s="459">
        <f t="shared" si="18"/>
        <v>1939343.8278726903</v>
      </c>
      <c r="F62" s="459">
        <f t="shared" si="18"/>
        <v>254856.54792916437</v>
      </c>
      <c r="G62" s="459">
        <f t="shared" si="18"/>
        <v>1942732.8201587358</v>
      </c>
      <c r="H62" s="459">
        <f t="shared" si="18"/>
        <v>524432.73999984714</v>
      </c>
      <c r="I62" s="459">
        <f t="shared" ref="I62:K62" si="19">I41*103%</f>
        <v>502196.07</v>
      </c>
      <c r="J62" s="459">
        <f>SUM(J63:J64)</f>
        <v>299923.4524140486</v>
      </c>
      <c r="K62" s="459">
        <f t="shared" si="19"/>
        <v>186149.84</v>
      </c>
      <c r="L62" s="459">
        <f>SUM(C62:K62)</f>
        <v>17140527.959854629</v>
      </c>
      <c r="M62" s="610">
        <f>SUM(L62)</f>
        <v>17140527.959854629</v>
      </c>
      <c r="O62" s="600" t="s">
        <v>594</v>
      </c>
      <c r="P62" s="190" t="b">
        <f>0.04*M61=SUM(M70:M71)</f>
        <v>1</v>
      </c>
    </row>
    <row r="63" spans="2:16" ht="12" hidden="1" outlineLevel="1" thickBot="1" x14ac:dyDescent="0.2">
      <c r="B63" s="598" t="s">
        <v>554</v>
      </c>
      <c r="C63" s="459">
        <f>SUMIF('Program Savings Changes 2019'!$B$2:$B$84,'Portfolio Budget'!C60,'Program Savings Changes 2019'!$O$2:$O$84)</f>
        <v>3482796.4343884056</v>
      </c>
      <c r="D63" s="602">
        <f>SUMIF('Program Savings Changes 2019'!$B$2:$B$84,'Portfolio Budget'!D60,'Program Savings Changes 2019'!$O$2:$O$84)</f>
        <v>4045011.7519485611</v>
      </c>
      <c r="E63" s="459">
        <f>SUMIF('Program Savings Changes 2019'!$B$2:$B$84,'Portfolio Budget'!E60,'Program Savings Changes 2019'!$O$2:$O$84)</f>
        <v>1230674.80751087</v>
      </c>
      <c r="F63" s="459">
        <f>SUMIF('Program Savings Changes 2019'!$B$2:$B$84,'Portfolio Budget'!F60,'Program Savings Changes 2019'!$O$2:$O$84)</f>
        <v>162379.15005286553</v>
      </c>
      <c r="G63" s="459">
        <f>SUMIF('Program Savings Changes 2019'!$B$2:$B$84,'Portfolio Budget'!G60,'Program Savings Changes 2019'!$O$2:$O$84)</f>
        <v>1311499.7163407782</v>
      </c>
      <c r="H63" s="459">
        <f>SUMIF('Program Savings Changes 2019'!$B$2:$B$84,'Portfolio Budget'!H60,'Program Savings Changes 2019'!$O$2:$O$84)</f>
        <v>235841.10586447272</v>
      </c>
      <c r="I63" s="459"/>
      <c r="J63" s="459">
        <f>SUMIF('Program Savings Changes 2019'!$B$2:$B$84,'Portfolio Budget'!J60,'Program Savings Changes 2019'!$O$2:$O$84)</f>
        <v>203219.84241404862</v>
      </c>
      <c r="K63" s="459"/>
      <c r="L63" s="459"/>
      <c r="M63" s="610"/>
    </row>
    <row r="64" spans="2:16" ht="12" hidden="1" outlineLevel="1" thickBot="1" x14ac:dyDescent="0.2">
      <c r="B64" s="598" t="s">
        <v>555</v>
      </c>
      <c r="C64" s="459">
        <f>SUMIF('Program Savings Changes 2019'!$B$2:$B$84,'Portfolio Budget'!C60,'Program Savings Changes 2019'!$P$2:$P$84)</f>
        <v>2684832.7135677841</v>
      </c>
      <c r="D64" s="602">
        <f>SUMIF('Program Savings Changes 2019'!$B$2:$B$84,'Portfolio Budget'!D60,'Program Savings Changes 2019'!$P$2:$P$84)</f>
        <v>1278251.7615753934</v>
      </c>
      <c r="E64" s="459">
        <f>SUMIF('Program Savings Changes 2019'!$B$2:$B$84,'Portfolio Budget'!E60,'Program Savings Changes 2019'!$P$2:$P$84)</f>
        <v>708669.02036182012</v>
      </c>
      <c r="F64" s="459">
        <f>SUMIF('Program Savings Changes 2019'!$B$2:$B$84,'Portfolio Budget'!F60,'Program Savings Changes 2019'!$P$2:$P$84)</f>
        <v>92477.397876298841</v>
      </c>
      <c r="G64" s="459">
        <f>SUMIF('Program Savings Changes 2019'!$B$2:$B$84,'Portfolio Budget'!G60,'Program Savings Changes 2019'!$P$2:$P$84)</f>
        <v>631233.10381795769</v>
      </c>
      <c r="H64" s="459">
        <f>SUMIF('Program Savings Changes 2019'!$B$2:$B$84,'Portfolio Budget'!H60,'Program Savings Changes 2019'!$P$2:$P$84)</f>
        <v>288591.63413537439</v>
      </c>
      <c r="I64" s="459"/>
      <c r="J64" s="459">
        <f>SUMIF('Program Savings Changes 2019'!$B$2:$B$84,'Portfolio Budget'!J60,'Program Savings Changes 2019'!$P$2:$P$84)</f>
        <v>96703.61</v>
      </c>
      <c r="K64" s="459"/>
      <c r="L64" s="459"/>
      <c r="M64" s="610"/>
    </row>
    <row r="65" spans="2:16" ht="12" collapsed="1" thickBot="1" x14ac:dyDescent="0.2">
      <c r="B65" s="191" t="s">
        <v>245</v>
      </c>
      <c r="C65" s="459">
        <f>SUMIF('Program Savings Changes 2019'!$B$2:$B$84,'Portfolio Budget'!C60,'Program Savings Changes 2019'!$Q$2:$Q$84)</f>
        <v>1854697.9808470828</v>
      </c>
      <c r="D65" s="602">
        <f>SUMIF('Program Savings Changes 2019'!$B$2:$B$84,'Portfolio Budget'!D60,'Program Savings Changes 2019'!$Q$2:$Q$84)</f>
        <v>719317.00793430011</v>
      </c>
      <c r="E65" s="459">
        <f>SUMIF('Program Savings Changes 2019'!$B$2:$B$84,'Portfolio Budget'!E60,'Program Savings Changes 2019'!$Q$2:$Q$84)</f>
        <v>358239.52322173899</v>
      </c>
      <c r="F65" s="459">
        <f>SUMIF('Program Savings Changes 2019'!$B$2:$B$84,'Portfolio Budget'!F60,'Program Savings Changes 2019'!$Q$2:$Q$84)</f>
        <v>17425.588835414801</v>
      </c>
      <c r="G65" s="459">
        <f>SUMIF('Program Savings Changes 2019'!$B$2:$B$84,'Portfolio Budget'!G60,'Program Savings Changes 2019'!$Q$2:$Q$84)</f>
        <v>306125.69141743873</v>
      </c>
      <c r="H65" s="459">
        <f>SUMIF('Program Savings Changes 2019'!$B$2:$B$84,'Portfolio Budget'!H60,'Program Savings Changes 2019'!$Q$2:$Q$84)</f>
        <v>0</v>
      </c>
      <c r="I65" s="459">
        <f t="shared" ref="I65:K65" si="20">I44*103%</f>
        <v>106099.27</v>
      </c>
      <c r="J65" s="459">
        <f>SUMIF('Program Savings Changes 2019'!$B$2:$B$84,'Portfolio Budget'!J60,'Program Savings Changes 2019'!$Q$2:$Q$84)</f>
        <v>0</v>
      </c>
      <c r="K65" s="459">
        <f t="shared" si="20"/>
        <v>46759.94</v>
      </c>
      <c r="L65" s="459">
        <f>SUM(C65:K65)</f>
        <v>3408665.0022559757</v>
      </c>
      <c r="M65" s="610">
        <f t="shared" ref="M65:M69" si="21">SUM(L65)</f>
        <v>3408665.0022559757</v>
      </c>
      <c r="O65" s="190" t="s">
        <v>595</v>
      </c>
      <c r="P65" s="190" t="e">
        <f>L61=#REF!</f>
        <v>#REF!</v>
      </c>
    </row>
    <row r="66" spans="2:16" ht="12" thickBot="1" x14ac:dyDescent="0.2">
      <c r="B66" s="458" t="s">
        <v>246</v>
      </c>
      <c r="C66" s="459">
        <f t="shared" ref="C66:H66" si="22">SUM(C67:C68)</f>
        <v>20588666.411162809</v>
      </c>
      <c r="D66" s="602">
        <f t="shared" si="22"/>
        <v>29494003.737070031</v>
      </c>
      <c r="E66" s="459">
        <f t="shared" si="22"/>
        <v>12169305.14325011</v>
      </c>
      <c r="F66" s="459">
        <f t="shared" si="22"/>
        <v>2645836.2959241858</v>
      </c>
      <c r="G66" s="459">
        <f t="shared" si="22"/>
        <v>9002197.6559619233</v>
      </c>
      <c r="H66" s="459">
        <f t="shared" si="22"/>
        <v>5306652.6999984551</v>
      </c>
      <c r="I66" s="459">
        <f t="shared" ref="I66:K66" si="23">I45*103%</f>
        <v>7092486.2700000005</v>
      </c>
      <c r="J66" s="459">
        <f>SUM(J67:J68)</f>
        <v>4690535.9840129586</v>
      </c>
      <c r="K66" s="459">
        <f t="shared" si="23"/>
        <v>1379211.2</v>
      </c>
      <c r="L66" s="459">
        <f>SUM(C66:K66)</f>
        <v>92368895.397380471</v>
      </c>
      <c r="M66" s="610">
        <f t="shared" si="21"/>
        <v>92368895.397380471</v>
      </c>
    </row>
    <row r="67" spans="2:16" hidden="1" outlineLevel="1" x14ac:dyDescent="0.15">
      <c r="B67" s="599" t="s">
        <v>557</v>
      </c>
      <c r="C67" s="456">
        <f>SUMIF('Program Savings Changes 2019'!$B$2:$B$84,'Portfolio Budget'!C60,'Program Savings Changes 2019'!$R$2:$R$84)</f>
        <v>19037260.402450465</v>
      </c>
      <c r="D67" s="613">
        <f>SUMIF('Program Savings Changes 2019'!$B$2:$B$84,'Portfolio Budget'!D60,'Program Savings Changes 2019'!$R$2:$R$84)</f>
        <v>27057828.462616447</v>
      </c>
      <c r="E67" s="456">
        <f>SUMIF('Program Savings Changes 2019'!$B$2:$B$84,'Portfolio Budget'!E60,'Program Savings Changes 2019'!$R$2:$R$84)</f>
        <v>11645236.640382513</v>
      </c>
      <c r="F67" s="456">
        <f>SUMIF('Program Savings Changes 2019'!$B$2:$B$84,'Portfolio Budget'!F60,'Program Savings Changes 2019'!$R$2:$R$84)</f>
        <v>2589060.2678629216</v>
      </c>
      <c r="G67" s="456">
        <f>SUMIF('Program Savings Changes 2019'!$B$2:$B$84,'Portfolio Budget'!G60,'Program Savings Changes 2019'!$R$2:$R$84)</f>
        <v>8805230.6171913836</v>
      </c>
      <c r="H67" s="456">
        <f>SUMIF('Program Savings Changes 2019'!$B$2:$B$84,'Portfolio Budget'!H60,'Program Savings Changes 2019'!$R$2:$R$84)</f>
        <v>5306652.6999984551</v>
      </c>
      <c r="I67" s="456"/>
      <c r="J67" s="456">
        <f>SUMIF('Program Savings Changes 2019'!$B$2:$B$84,'Portfolio Budget'!J60,'Program Savings Changes 2019'!$R$2:$R$84)</f>
        <v>4690535.9840129586</v>
      </c>
      <c r="K67" s="456"/>
      <c r="L67" s="456"/>
      <c r="M67" s="611"/>
    </row>
    <row r="68" spans="2:16" hidden="1" outlineLevel="1" x14ac:dyDescent="0.15">
      <c r="B68" s="599" t="s">
        <v>560</v>
      </c>
      <c r="C68" s="456">
        <f>SUMIF('Program Savings Changes 2019'!$B$2:$B$84,'Portfolio Budget'!C60,'Program Savings Changes 2019'!$U$2:$U$84)</f>
        <v>1551406.0087123427</v>
      </c>
      <c r="D68" s="613">
        <f>SUMIF('Program Savings Changes 2019'!$B$2:$B$84,'Portfolio Budget'!D60,'Program Savings Changes 2019'!$U$2:$U$84)</f>
        <v>2436175.274453585</v>
      </c>
      <c r="E68" s="456">
        <f>SUMIF('Program Savings Changes 2019'!$B$2:$B$84,'Portfolio Budget'!E60,'Program Savings Changes 2019'!$U$2:$U$84)</f>
        <v>524068.5028675971</v>
      </c>
      <c r="F68" s="456">
        <f>SUMIF('Program Savings Changes 2019'!$B$2:$B$84,'Portfolio Budget'!F60,'Program Savings Changes 2019'!$U$2:$U$84)</f>
        <v>56776.028061264005</v>
      </c>
      <c r="G68" s="456">
        <f>SUMIF('Program Savings Changes 2019'!$B$2:$B$84,'Portfolio Budget'!G60,'Program Savings Changes 2019'!$U$2:$U$84)</f>
        <v>196967.03877053937</v>
      </c>
      <c r="H68" s="456">
        <f>SUMIF('Program Savings Changes 2019'!$B$2:$B$84,'Portfolio Budget'!H60,'Program Savings Changes 2019'!$U$2:$U$84)</f>
        <v>0</v>
      </c>
      <c r="I68" s="456"/>
      <c r="J68" s="456">
        <f>SUMIF('Program Savings Changes 2019'!$B$2:$B$84,'Portfolio Budget'!J60,'Program Savings Changes 2019'!$U$2:$U$84)</f>
        <v>0</v>
      </c>
      <c r="K68" s="456"/>
      <c r="L68" s="456"/>
      <c r="M68" s="611"/>
    </row>
    <row r="69" spans="2:16" ht="12" collapsed="1" thickBot="1" x14ac:dyDescent="0.2">
      <c r="B69" s="463" t="s">
        <v>247</v>
      </c>
      <c r="C69" s="456">
        <f>SUMIF('Program Savings Changes 2019'!$B$2:$B$84,'Portfolio Budget'!C60,'Program Savings Changes 2019'!$M$2:$M$84)</f>
        <v>54658173.144088075</v>
      </c>
      <c r="D69" s="613">
        <f>SUMIF('Program Savings Changes 2019'!$B$2:$B$84,'Portfolio Budget'!D60,'Program Savings Changes 2019'!$M$2:$M$84)</f>
        <v>52423496.012543157</v>
      </c>
      <c r="E69" s="456">
        <f>SUMIF('Program Savings Changes 2019'!$B$2:$B$84,'Portfolio Budget'!E60,'Program Savings Changes 2019'!$M$2:$M$84)</f>
        <v>14001187.786048448</v>
      </c>
      <c r="F69" s="456">
        <f>SUMIF('Program Savings Changes 2019'!$B$2:$B$84,'Portfolio Budget'!F60,'Program Savings Changes 2019'!$M$2:$M$84)</f>
        <v>263187.905209644</v>
      </c>
      <c r="G69" s="456">
        <f>SUMIF('Program Savings Changes 2019'!$B$2:$B$84,'Portfolio Budget'!G60,'Program Savings Changes 2019'!$M$2:$M$84)</f>
        <v>8273467.9651926402</v>
      </c>
      <c r="H69" s="456">
        <f>SUMIF('Program Savings Changes 2019'!$B$2:$B$84,'Portfolio Budget'!H60,'Program Savings Changes 2019'!$M$2:$M$84)</f>
        <v>0</v>
      </c>
      <c r="I69" s="456">
        <f t="shared" ref="I69:K69" si="24">I48*103%</f>
        <v>0</v>
      </c>
      <c r="J69" s="456">
        <f>SUMIF('Program Savings Changes 2019'!$B$2:$B$84,'Portfolio Budget'!J60,'Program Savings Changes 2019'!$M$2:$M$84)</f>
        <v>0</v>
      </c>
      <c r="K69" s="456">
        <f t="shared" si="24"/>
        <v>0</v>
      </c>
      <c r="L69" s="456">
        <f>SUM(C69:K69)</f>
        <v>129619512.81308196</v>
      </c>
      <c r="M69" s="611">
        <f t="shared" si="21"/>
        <v>129619512.81308196</v>
      </c>
    </row>
    <row r="70" spans="2:16" ht="12" thickBot="1" x14ac:dyDescent="0.2">
      <c r="B70" s="458" t="s">
        <v>494</v>
      </c>
      <c r="C70" s="459"/>
      <c r="D70" s="459"/>
      <c r="E70" s="459"/>
      <c r="F70" s="459"/>
      <c r="G70" s="459"/>
      <c r="H70" s="459"/>
      <c r="I70" s="459"/>
      <c r="J70" s="459"/>
      <c r="K70" s="459"/>
      <c r="L70" s="459"/>
      <c r="M70" s="608">
        <f>(L61+M72)/0.96*0.04*0.4</f>
        <v>4329993.3528762171</v>
      </c>
      <c r="N70" s="562">
        <f>SUM(M70+M71)/M61</f>
        <v>0.04</v>
      </c>
    </row>
    <row r="71" spans="2:16" ht="12" thickBot="1" x14ac:dyDescent="0.2">
      <c r="B71" s="442" t="s">
        <v>495</v>
      </c>
      <c r="C71" s="194"/>
      <c r="D71" s="194"/>
      <c r="E71" s="194"/>
      <c r="F71" s="194"/>
      <c r="G71" s="194"/>
      <c r="H71" s="194"/>
      <c r="I71" s="194"/>
      <c r="J71" s="194"/>
      <c r="K71" s="194"/>
      <c r="L71" s="455"/>
      <c r="M71" s="609">
        <f>(L61+M72)/0.96*0.04*0.6</f>
        <v>6494990.0293143252</v>
      </c>
    </row>
    <row r="72" spans="2:16" ht="12" thickBot="1" x14ac:dyDescent="0.2">
      <c r="B72" s="442" t="s">
        <v>195</v>
      </c>
      <c r="C72" s="194"/>
      <c r="D72" s="194"/>
      <c r="E72" s="194"/>
      <c r="F72" s="194"/>
      <c r="G72" s="194"/>
      <c r="H72" s="194"/>
      <c r="I72" s="194"/>
      <c r="J72" s="194"/>
      <c r="K72" s="194"/>
      <c r="L72" s="455"/>
      <c r="M72" s="609">
        <f>M35</f>
        <v>17262000</v>
      </c>
    </row>
    <row r="73" spans="2:16" x14ac:dyDescent="0.15">
      <c r="C73" s="190" t="s">
        <v>518</v>
      </c>
    </row>
    <row r="75" spans="2:16" ht="12" thickBot="1" x14ac:dyDescent="0.2"/>
    <row r="76" spans="2:16" ht="35.5" customHeight="1" thickBot="1" x14ac:dyDescent="0.2">
      <c r="B76" s="464" t="s">
        <v>521</v>
      </c>
      <c r="C76" s="465" t="s">
        <v>228</v>
      </c>
      <c r="D76" s="465" t="s">
        <v>229</v>
      </c>
      <c r="E76" s="465" t="s">
        <v>233</v>
      </c>
      <c r="F76" s="465" t="s">
        <v>230</v>
      </c>
      <c r="G76" s="465" t="s">
        <v>231</v>
      </c>
      <c r="H76" s="465" t="s">
        <v>223</v>
      </c>
      <c r="I76" s="465" t="s">
        <v>222</v>
      </c>
      <c r="J76" s="466" t="s">
        <v>224</v>
      </c>
      <c r="K76" s="465" t="s">
        <v>488</v>
      </c>
      <c r="L76" s="466" t="s">
        <v>489</v>
      </c>
      <c r="M76" s="465" t="s">
        <v>493</v>
      </c>
      <c r="O76" s="190" t="s">
        <v>593</v>
      </c>
    </row>
    <row r="77" spans="2:16" ht="15" thickBot="1" x14ac:dyDescent="0.25">
      <c r="B77" s="191" t="s">
        <v>243</v>
      </c>
      <c r="C77" s="192">
        <f t="shared" ref="C77:L77" si="25">C78+C81+C82+C85</f>
        <v>97833354.244776964</v>
      </c>
      <c r="D77" s="612">
        <f t="shared" si="25"/>
        <v>89719281.876492888</v>
      </c>
      <c r="E77" s="192">
        <f t="shared" si="25"/>
        <v>29037437.806000862</v>
      </c>
      <c r="F77" s="192">
        <f t="shared" si="25"/>
        <v>3244932.4646563847</v>
      </c>
      <c r="G77" s="192">
        <f t="shared" si="25"/>
        <v>19915014.61538535</v>
      </c>
      <c r="H77" s="192">
        <f t="shared" si="25"/>
        <v>5947707.1487982813</v>
      </c>
      <c r="I77" s="192">
        <f t="shared" si="25"/>
        <v>7854797.2422000002</v>
      </c>
      <c r="J77" s="192">
        <f t="shared" si="25"/>
        <v>5090268.6251555514</v>
      </c>
      <c r="K77" s="192">
        <f t="shared" si="25"/>
        <v>1644363.3995999999</v>
      </c>
      <c r="L77" s="192">
        <f t="shared" si="25"/>
        <v>260287157.42306632</v>
      </c>
      <c r="M77" s="607">
        <f>SUM(M78:M88)</f>
        <v>289113705.64902741</v>
      </c>
      <c r="O77" s="190" t="s">
        <v>227</v>
      </c>
      <c r="P77" s="190" t="b">
        <f>L77=SUM(C77:K77)</f>
        <v>1</v>
      </c>
    </row>
    <row r="78" spans="2:16" ht="12" thickBot="1" x14ac:dyDescent="0.2">
      <c r="B78" s="191" t="s">
        <v>244</v>
      </c>
      <c r="C78" s="459">
        <f t="shared" ref="C78:H78" si="26">SUM(C79:C80)</f>
        <v>8210981.7309153154</v>
      </c>
      <c r="D78" s="602">
        <f t="shared" si="26"/>
        <v>5429728.783794431</v>
      </c>
      <c r="E78" s="459">
        <f t="shared" si="26"/>
        <v>1978130.7044301429</v>
      </c>
      <c r="F78" s="459">
        <f t="shared" si="26"/>
        <v>259953.67888774772</v>
      </c>
      <c r="G78" s="459">
        <f t="shared" si="26"/>
        <v>1981587.4765619105</v>
      </c>
      <c r="H78" s="459">
        <f t="shared" si="26"/>
        <v>534921.39479984483</v>
      </c>
      <c r="I78" s="459">
        <f t="shared" ref="I78:K78" si="27">I62*102%</f>
        <v>512239.9914</v>
      </c>
      <c r="J78" s="459">
        <f>SUM(J79:J80)</f>
        <v>305921.92146232928</v>
      </c>
      <c r="K78" s="459">
        <f t="shared" si="27"/>
        <v>189872.83679999999</v>
      </c>
      <c r="L78" s="459">
        <f>SUM(C78:K78)</f>
        <v>19403338.519051723</v>
      </c>
      <c r="M78" s="610">
        <f>SUM(L78)</f>
        <v>19403338.519051723</v>
      </c>
      <c r="O78" s="600" t="s">
        <v>594</v>
      </c>
      <c r="P78" s="190" t="b">
        <f>0.04*M77=SUM(M86:M87)</f>
        <v>1</v>
      </c>
    </row>
    <row r="79" spans="2:16" ht="12" hidden="1" outlineLevel="1" thickBot="1" x14ac:dyDescent="0.2">
      <c r="B79" s="598" t="s">
        <v>554</v>
      </c>
      <c r="C79" s="459">
        <f>SUMIF('Program Savings Changes 2020'!$B$2:$B$85,'Portfolio Budget'!C76,'Program Savings Changes 2020'!$O$2:$O$85)</f>
        <v>4512452.3630761756</v>
      </c>
      <c r="D79" s="602">
        <f>SUMIF('Program Savings Changes 2020'!$B$2:$B$85,'Portfolio Budget'!D76,'Program Savings Changes 2020'!$O$2:$O$85)</f>
        <v>4125911.9869875312</v>
      </c>
      <c r="E79" s="459">
        <f>SUMIF('Program Savings Changes 2020'!$B$2:$B$85,'Portfolio Budget'!E76,'Program Savings Changes 2020'!$O$2:$O$85)</f>
        <v>1255288.3036610866</v>
      </c>
      <c r="F79" s="459">
        <f>SUMIF('Program Savings Changes 2020'!$B$2:$B$85,'Portfolio Budget'!F76,'Program Savings Changes 2020'!$O$2:$O$85)</f>
        <v>165626.73305392289</v>
      </c>
      <c r="G79" s="459">
        <f>SUMIF('Program Savings Changes 2020'!$B$2:$B$85,'Portfolio Budget'!G76,'Program Savings Changes 2020'!$O$2:$O$85)</f>
        <v>1337729.7106675936</v>
      </c>
      <c r="H79" s="459">
        <f>SUMIF('Program Savings Changes 2020'!$B$2:$B$85,'Portfolio Budget'!H76,'Program Savings Changes 2020'!$O$2:$O$85)</f>
        <v>240557.92798176239</v>
      </c>
      <c r="I79" s="459"/>
      <c r="J79" s="459">
        <f>SUMIF('Program Savings Changes 2020'!$B$2:$B$85,'Portfolio Budget'!J76,'Program Savings Changes 2020'!$O$2:$O$85)</f>
        <v>207284.2392623293</v>
      </c>
      <c r="K79" s="459"/>
      <c r="L79" s="459"/>
      <c r="M79" s="610"/>
    </row>
    <row r="80" spans="2:16" ht="12" hidden="1" outlineLevel="1" thickBot="1" x14ac:dyDescent="0.2">
      <c r="B80" s="598" t="s">
        <v>555</v>
      </c>
      <c r="C80" s="459">
        <f>SUMIF('Program Savings Changes 2020'!$B$2:$B$85,'Portfolio Budget'!C76,'Program Savings Changes 2020'!$P$2:$P$85)</f>
        <v>3698529.3678391399</v>
      </c>
      <c r="D80" s="602">
        <f>SUMIF('Program Savings Changes 2020'!$B$2:$B$85,'Portfolio Budget'!D76,'Program Savings Changes 2020'!$P$2:$P$85)</f>
        <v>1303816.7968068998</v>
      </c>
      <c r="E80" s="459">
        <f>SUMIF('Program Savings Changes 2020'!$B$2:$B$85,'Portfolio Budget'!E76,'Program Savings Changes 2020'!$P$2:$P$85)</f>
        <v>722842.4007690564</v>
      </c>
      <c r="F80" s="459">
        <f>SUMIF('Program Savings Changes 2020'!$B$2:$B$85,'Portfolio Budget'!F76,'Program Savings Changes 2020'!$P$2:$P$85)</f>
        <v>94326.945833824837</v>
      </c>
      <c r="G80" s="459">
        <f>SUMIF('Program Savings Changes 2020'!$B$2:$B$85,'Portfolio Budget'!G76,'Program Savings Changes 2020'!$P$2:$P$85)</f>
        <v>643857.76589431695</v>
      </c>
      <c r="H80" s="459">
        <f>SUMIF('Program Savings Changes 2020'!$B$2:$B$85,'Portfolio Budget'!H76,'Program Savings Changes 2020'!$P$2:$P$85)</f>
        <v>294363.46681808238</v>
      </c>
      <c r="I80" s="459"/>
      <c r="J80" s="459">
        <f>SUMIF('Program Savings Changes 2020'!$B$2:$B$85,'Portfolio Budget'!J76,'Program Savings Changes 2020'!$P$2:$P$85)</f>
        <v>98637.682199999996</v>
      </c>
      <c r="K80" s="459"/>
      <c r="L80" s="459"/>
      <c r="M80" s="610"/>
    </row>
    <row r="81" spans="2:16" ht="12" collapsed="1" thickBot="1" x14ac:dyDescent="0.2">
      <c r="B81" s="191" t="s">
        <v>245</v>
      </c>
      <c r="C81" s="459">
        <f>SUMIF('Program Savings Changes 2020'!$B$2:$B$85,'Portfolio Budget'!C76,'Program Savings Changes 2020'!$Q$2:$Q$85)</f>
        <v>1891791.9404640256</v>
      </c>
      <c r="D81" s="602">
        <f>SUMIF('Program Savings Changes 2020'!$B$2:$B$85,'Portfolio Budget'!D76,'Program Savings Changes 2020'!$Q$2:$Q$85)</f>
        <v>733703.3480929865</v>
      </c>
      <c r="E81" s="459">
        <f>SUMIF('Program Savings Changes 2020'!$B$2:$B$85,'Portfolio Budget'!E76,'Program Savings Changes 2020'!$Q$2:$Q$85)</f>
        <v>365404.3136861737</v>
      </c>
      <c r="F81" s="459">
        <f>SUMIF('Program Savings Changes 2020'!$B$2:$B$85,'Portfolio Budget'!F76,'Program Savings Changes 2020'!$Q$2:$Q$85)</f>
        <v>17774.100612123082</v>
      </c>
      <c r="G81" s="459">
        <f>SUMIF('Program Savings Changes 2020'!$B$2:$B$85,'Portfolio Budget'!G76,'Program Savings Changes 2020'!$Q$2:$Q$85)</f>
        <v>312248.20524578769</v>
      </c>
      <c r="H81" s="459">
        <f>SUMIF('Program Savings Changes 2020'!$B$2:$B$85,'Portfolio Budget'!H76,'Program Savings Changes 2020'!$Q$2:$Q$85)</f>
        <v>0</v>
      </c>
      <c r="I81" s="459">
        <f t="shared" ref="I81:K81" si="28">I65*102%</f>
        <v>108221.25540000001</v>
      </c>
      <c r="J81" s="459">
        <f>SUMIF('Program Savings Changes 2020'!$B$2:$B$85,'Portfolio Budget'!J76,'Program Savings Changes 2020'!$Q$2:$Q$85)</f>
        <v>0</v>
      </c>
      <c r="K81" s="459">
        <f t="shared" si="28"/>
        <v>47695.138800000001</v>
      </c>
      <c r="L81" s="459">
        <f>SUM(C81:K81)</f>
        <v>3476838.3023010967</v>
      </c>
      <c r="M81" s="610">
        <f t="shared" ref="M81:M85" si="29">SUM(L81)</f>
        <v>3476838.3023010967</v>
      </c>
      <c r="O81" s="190" t="s">
        <v>595</v>
      </c>
      <c r="P81" s="190" t="e">
        <f>L77=#REF!</f>
        <v>#REF!</v>
      </c>
    </row>
    <row r="82" spans="2:16" ht="12" thickBot="1" x14ac:dyDescent="0.2">
      <c r="B82" s="458" t="s">
        <v>246</v>
      </c>
      <c r="C82" s="459">
        <f t="shared" ref="C82:H82" si="30">SUM(C83:C84)</f>
        <v>23880439.739386059</v>
      </c>
      <c r="D82" s="602">
        <f t="shared" si="30"/>
        <v>30083883.811811477</v>
      </c>
      <c r="E82" s="459">
        <f t="shared" si="30"/>
        <v>12412691.246115118</v>
      </c>
      <c r="F82" s="459">
        <f t="shared" si="30"/>
        <v>2698753.0218426767</v>
      </c>
      <c r="G82" s="459">
        <f t="shared" si="30"/>
        <v>9182241.6090811603</v>
      </c>
      <c r="H82" s="459">
        <f t="shared" si="30"/>
        <v>5412785.753998437</v>
      </c>
      <c r="I82" s="459">
        <f t="shared" ref="I82:K82" si="31">I66*102%</f>
        <v>7234335.9954000004</v>
      </c>
      <c r="J82" s="459">
        <f>SUM(J83:J84)</f>
        <v>4784346.7036932223</v>
      </c>
      <c r="K82" s="459">
        <f t="shared" si="31"/>
        <v>1406795.4239999999</v>
      </c>
      <c r="L82" s="459">
        <f>SUM(C82:K82)</f>
        <v>97096273.305328161</v>
      </c>
      <c r="M82" s="610">
        <f t="shared" si="29"/>
        <v>97096273.305328161</v>
      </c>
    </row>
    <row r="83" spans="2:16" hidden="1" outlineLevel="1" x14ac:dyDescent="0.15">
      <c r="B83" s="599" t="s">
        <v>557</v>
      </c>
      <c r="C83" s="456">
        <f>SUMIF('Program Savings Changes 2020'!$B$2:$B$85,'Portfolio Budget'!C76,'Program Savings Changes 2020'!$R$2:$R$85)</f>
        <v>22298005.610499468</v>
      </c>
      <c r="D83" s="613">
        <f>SUMIF('Program Savings Changes 2020'!$B$2:$B$85,'Portfolio Budget'!D76,'Program Savings Changes 2020'!$R$2:$R$85)</f>
        <v>27598985.031868823</v>
      </c>
      <c r="E83" s="456">
        <f>SUMIF('Program Savings Changes 2020'!$B$2:$B$85,'Portfolio Budget'!E76,'Program Savings Changes 2020'!$R$2:$R$85)</f>
        <v>11878141.373190168</v>
      </c>
      <c r="F83" s="456">
        <f>SUMIF('Program Savings Changes 2020'!$B$2:$B$85,'Portfolio Budget'!F76,'Program Savings Changes 2020'!$R$2:$R$85)</f>
        <v>2640841.4732201872</v>
      </c>
      <c r="G83" s="456">
        <f>SUMIF('Program Savings Changes 2020'!$B$2:$B$85,'Portfolio Budget'!G76,'Program Savings Changes 2020'!$R$2:$R$85)</f>
        <v>8981335.2295352109</v>
      </c>
      <c r="H83" s="456">
        <f>SUMIF('Program Savings Changes 2020'!$B$2:$B$85,'Portfolio Budget'!H76,'Program Savings Changes 2020'!$R$2:$R$85)</f>
        <v>5412785.753998437</v>
      </c>
      <c r="I83" s="456"/>
      <c r="J83" s="456">
        <f>SUMIF('Program Savings Changes 2020'!$B$2:$B$85,'Portfolio Budget'!J76,'Program Savings Changes 2020'!$R$2:$R$85)</f>
        <v>4784346.7036932223</v>
      </c>
      <c r="K83" s="456"/>
      <c r="L83" s="456"/>
      <c r="M83" s="611"/>
    </row>
    <row r="84" spans="2:16" hidden="1" outlineLevel="1" x14ac:dyDescent="0.15">
      <c r="B84" s="599" t="s">
        <v>560</v>
      </c>
      <c r="C84" s="456">
        <f>SUMIF('Program Savings Changes 2020'!$B$2:$B$85,'Portfolio Budget'!C76,'Program Savings Changes 2020'!$U$2:$U$85)</f>
        <v>1582434.12888659</v>
      </c>
      <c r="D84" s="613">
        <f>SUMIF('Program Savings Changes 2020'!$B$2:$B$85,'Portfolio Budget'!D76,'Program Savings Changes 2020'!$U$2:$U$85)</f>
        <v>2484898.7799426522</v>
      </c>
      <c r="E84" s="456">
        <f>SUMIF('Program Savings Changes 2020'!$B$2:$B$85,'Portfolio Budget'!E76,'Program Savings Changes 2020'!$U$2:$U$85)</f>
        <v>534549.87292495032</v>
      </c>
      <c r="F84" s="456">
        <f>SUMIF('Program Savings Changes 2020'!$B$2:$B$85,'Portfolio Budget'!F76,'Program Savings Changes 2020'!$U$2:$U$85)</f>
        <v>57911.548622489398</v>
      </c>
      <c r="G84" s="456">
        <f>SUMIF('Program Savings Changes 2020'!$B$2:$B$85,'Portfolio Budget'!G76,'Program Savings Changes 2020'!$U$2:$U$85)</f>
        <v>200906.37954595024</v>
      </c>
      <c r="H84" s="456">
        <f>SUMIF('Program Savings Changes 2020'!$B$2:$B$85,'Portfolio Budget'!H76,'Program Savings Changes 2020'!$U$2:$U$85)</f>
        <v>0</v>
      </c>
      <c r="I84" s="456"/>
      <c r="J84" s="456">
        <f>SUMIF('Program Savings Changes 2020'!$B$2:$B$85,'Portfolio Budget'!J76,'Program Savings Changes 2020'!$U$2:$U$85)</f>
        <v>0</v>
      </c>
      <c r="K84" s="456"/>
      <c r="L84" s="456"/>
      <c r="M84" s="611"/>
    </row>
    <row r="85" spans="2:16" ht="12" collapsed="1" thickBot="1" x14ac:dyDescent="0.2">
      <c r="B85" s="463" t="s">
        <v>247</v>
      </c>
      <c r="C85" s="456">
        <f>SUMIF('Program Savings Changes 2020'!$B$2:$B$85,'Portfolio Budget'!C76,'Program Savings Changes 2020'!$M$2:$M$85)</f>
        <v>63850140.83401157</v>
      </c>
      <c r="D85" s="613">
        <f>SUMIF('Program Savings Changes 2020'!$B$2:$B$85,'Portfolio Budget'!D76,'Program Savings Changes 2020'!$M$2:$M$85)</f>
        <v>53471965.932793997</v>
      </c>
      <c r="E85" s="456">
        <f>SUMIF('Program Savings Changes 2020'!$B$2:$B$85,'Portfolio Budget'!E76,'Program Savings Changes 2020'!$M$2:$M$85)</f>
        <v>14281211.541769426</v>
      </c>
      <c r="F85" s="456">
        <f>SUMIF('Program Savings Changes 2020'!$B$2:$B$85,'Portfolio Budget'!F76,'Program Savings Changes 2020'!$M$2:$M$85)</f>
        <v>268451.66331383702</v>
      </c>
      <c r="G85" s="456">
        <f>SUMIF('Program Savings Changes 2020'!$B$2:$B$85,'Portfolio Budget'!G76,'Program Savings Changes 2020'!$M$2:$M$85)</f>
        <v>8438937.3244964909</v>
      </c>
      <c r="H85" s="456">
        <f>SUMIF('Program Savings Changes 2020'!$B$2:$B$85,'Portfolio Budget'!H76,'Program Savings Changes 2020'!$M$2:$M$85)</f>
        <v>0</v>
      </c>
      <c r="I85" s="456">
        <f t="shared" ref="I85:K85" si="32">I69*102%</f>
        <v>0</v>
      </c>
      <c r="J85" s="456">
        <f>SUMIF('Program Savings Changes 2020'!$B$2:$B$85,'Portfolio Budget'!J76,'Program Savings Changes 2020'!$M$2:$M$85)</f>
        <v>0</v>
      </c>
      <c r="K85" s="456">
        <f t="shared" si="32"/>
        <v>0</v>
      </c>
      <c r="L85" s="456">
        <f>SUM(C85:K85)</f>
        <v>140310707.29638532</v>
      </c>
      <c r="M85" s="611">
        <f t="shared" si="29"/>
        <v>140310707.29638532</v>
      </c>
    </row>
    <row r="86" spans="2:16" ht="12" thickBot="1" x14ac:dyDescent="0.2">
      <c r="B86" s="458" t="s">
        <v>494</v>
      </c>
      <c r="C86" s="459"/>
      <c r="D86" s="459"/>
      <c r="E86" s="459"/>
      <c r="F86" s="459"/>
      <c r="G86" s="459"/>
      <c r="H86" s="459"/>
      <c r="I86" s="459"/>
      <c r="J86" s="459"/>
      <c r="K86" s="459"/>
      <c r="L86" s="459"/>
      <c r="M86" s="608">
        <f>(L77+M88)/0.96*0.04*0.4</f>
        <v>4625819.2903844388</v>
      </c>
      <c r="N86" s="562">
        <f>SUM(M86+M87)/M77</f>
        <v>0.04</v>
      </c>
    </row>
    <row r="87" spans="2:16" ht="12" thickBot="1" x14ac:dyDescent="0.2">
      <c r="B87" s="442" t="s">
        <v>495</v>
      </c>
      <c r="C87" s="194"/>
      <c r="D87" s="194"/>
      <c r="E87" s="194"/>
      <c r="F87" s="194"/>
      <c r="G87" s="194"/>
      <c r="H87" s="194"/>
      <c r="I87" s="194"/>
      <c r="J87" s="194"/>
      <c r="K87" s="194"/>
      <c r="L87" s="455"/>
      <c r="M87" s="609">
        <f>(L77+M88)/0.96*0.04*0.6</f>
        <v>6938728.9355766578</v>
      </c>
    </row>
    <row r="88" spans="2:16" ht="12" thickBot="1" x14ac:dyDescent="0.2">
      <c r="B88" s="442" t="s">
        <v>195</v>
      </c>
      <c r="C88" s="194"/>
      <c r="D88" s="194"/>
      <c r="E88" s="194"/>
      <c r="F88" s="194"/>
      <c r="G88" s="194"/>
      <c r="H88" s="194"/>
      <c r="I88" s="194"/>
      <c r="J88" s="194"/>
      <c r="K88" s="194"/>
      <c r="L88" s="455"/>
      <c r="M88" s="609">
        <f>M35</f>
        <v>17262000</v>
      </c>
    </row>
    <row r="89" spans="2:16" x14ac:dyDescent="0.15">
      <c r="C89" s="190" t="s">
        <v>518</v>
      </c>
    </row>
    <row r="91" spans="2:16" ht="12" thickBot="1" x14ac:dyDescent="0.2"/>
    <row r="92" spans="2:16" ht="36" customHeight="1" thickBot="1" x14ac:dyDescent="0.2">
      <c r="B92" s="464" t="s">
        <v>509</v>
      </c>
      <c r="C92" s="465" t="s">
        <v>228</v>
      </c>
      <c r="D92" s="465" t="s">
        <v>229</v>
      </c>
      <c r="E92" s="465" t="s">
        <v>233</v>
      </c>
      <c r="F92" s="465" t="s">
        <v>230</v>
      </c>
      <c r="G92" s="465" t="s">
        <v>231</v>
      </c>
      <c r="H92" s="465" t="s">
        <v>223</v>
      </c>
      <c r="I92" s="465" t="s">
        <v>222</v>
      </c>
      <c r="J92" s="466" t="s">
        <v>224</v>
      </c>
      <c r="K92" s="465" t="s">
        <v>488</v>
      </c>
      <c r="L92" s="466" t="s">
        <v>489</v>
      </c>
      <c r="M92" s="465" t="s">
        <v>493</v>
      </c>
      <c r="O92" s="190" t="s">
        <v>593</v>
      </c>
    </row>
    <row r="93" spans="2:16" ht="15" thickBot="1" x14ac:dyDescent="0.25">
      <c r="B93" s="191" t="s">
        <v>243</v>
      </c>
      <c r="C93" s="192">
        <f>SUM(C94:C98)</f>
        <v>95876687.159881443</v>
      </c>
      <c r="D93" s="612">
        <f t="shared" ref="D93:L93" si="33">SUM(D94:D98)</f>
        <v>87924896.238963038</v>
      </c>
      <c r="E93" s="192">
        <f t="shared" si="33"/>
        <v>28456689.049880844</v>
      </c>
      <c r="F93" s="192">
        <f t="shared" si="33"/>
        <v>3180033.8153632567</v>
      </c>
      <c r="G93" s="192">
        <f t="shared" si="33"/>
        <v>19875382.727030672</v>
      </c>
      <c r="H93" s="192">
        <f t="shared" si="33"/>
        <v>5828753.0058223158</v>
      </c>
      <c r="I93" s="192">
        <f t="shared" si="33"/>
        <v>7697701.2973560002</v>
      </c>
      <c r="J93" s="192">
        <f t="shared" si="33"/>
        <v>4988463.2526524402</v>
      </c>
      <c r="K93" s="192">
        <f t="shared" si="33"/>
        <v>1611476.131608</v>
      </c>
      <c r="L93" s="192">
        <f t="shared" si="33"/>
        <v>255440082.67855799</v>
      </c>
      <c r="M93" s="607">
        <f>SUM(M94:M100)</f>
        <v>284064669.45683122</v>
      </c>
      <c r="O93" s="190" t="s">
        <v>227</v>
      </c>
      <c r="P93" s="190" t="b">
        <f>L93=SUM(C93:K93)</f>
        <v>1</v>
      </c>
    </row>
    <row r="94" spans="2:16" ht="12" thickBot="1" x14ac:dyDescent="0.2">
      <c r="B94" s="191" t="s">
        <v>244</v>
      </c>
      <c r="C94" s="459">
        <f>C78*98%</f>
        <v>8046762.0962970089</v>
      </c>
      <c r="D94" s="602">
        <f t="shared" ref="D94:K94" si="34">D78*98%</f>
        <v>5321134.2081185421</v>
      </c>
      <c r="E94" s="459">
        <f t="shared" si="34"/>
        <v>1938568.0903415401</v>
      </c>
      <c r="F94" s="459">
        <f t="shared" si="34"/>
        <v>254754.60530999277</v>
      </c>
      <c r="G94" s="459">
        <f t="shared" si="34"/>
        <v>1941955.7270306721</v>
      </c>
      <c r="H94" s="459">
        <f t="shared" ref="H94" si="35">H78*98%</f>
        <v>524222.96690384793</v>
      </c>
      <c r="I94" s="459">
        <f t="shared" si="34"/>
        <v>501995.19157199998</v>
      </c>
      <c r="J94" s="459">
        <f t="shared" si="34"/>
        <v>299803.48303308268</v>
      </c>
      <c r="K94" s="459">
        <f t="shared" si="34"/>
        <v>186075.380064</v>
      </c>
      <c r="L94" s="459">
        <f>SUM(C94:K94)</f>
        <v>19015271.748670686</v>
      </c>
      <c r="M94" s="610">
        <f>SUM(L94)</f>
        <v>19015271.748670686</v>
      </c>
      <c r="O94" s="600" t="s">
        <v>594</v>
      </c>
      <c r="P94" s="190" t="b">
        <f>ROUND(0.04*M93,0)=ROUND(SUM(M98:M99),0)</f>
        <v>1</v>
      </c>
    </row>
    <row r="95" spans="2:16" ht="12" thickBot="1" x14ac:dyDescent="0.2">
      <c r="B95" s="191" t="s">
        <v>245</v>
      </c>
      <c r="C95" s="459">
        <f>C81*98%</f>
        <v>1853956.1016547449</v>
      </c>
      <c r="D95" s="602">
        <f t="shared" ref="D95:K95" si="36">D81*98%</f>
        <v>719029.2811311268</v>
      </c>
      <c r="E95" s="459">
        <f t="shared" si="36"/>
        <v>358096.22741245024</v>
      </c>
      <c r="F95" s="459">
        <f t="shared" si="36"/>
        <v>17418.618599880621</v>
      </c>
      <c r="G95" s="459">
        <v>312248</v>
      </c>
      <c r="H95" s="459">
        <f t="shared" ref="H95" si="37">H81*98%</f>
        <v>0</v>
      </c>
      <c r="I95" s="459">
        <f t="shared" si="36"/>
        <v>106056.83029200001</v>
      </c>
      <c r="J95" s="459">
        <f t="shared" si="36"/>
        <v>0</v>
      </c>
      <c r="K95" s="459">
        <f t="shared" si="36"/>
        <v>46741.236023999998</v>
      </c>
      <c r="L95" s="459">
        <f>SUM(C95:K95)</f>
        <v>3413546.2951142024</v>
      </c>
      <c r="M95" s="610">
        <f t="shared" ref="M95:M97" si="38">SUM(L95)</f>
        <v>3413546.2951142024</v>
      </c>
    </row>
    <row r="96" spans="2:16" ht="12" thickBot="1" x14ac:dyDescent="0.2">
      <c r="B96" s="458" t="s">
        <v>246</v>
      </c>
      <c r="C96" s="459">
        <f>C82*98%</f>
        <v>23402830.944598339</v>
      </c>
      <c r="D96" s="602">
        <f t="shared" ref="D96:K96" si="39">D82*98%</f>
        <v>29482206.135575246</v>
      </c>
      <c r="E96" s="459">
        <f t="shared" si="39"/>
        <v>12164437.421192816</v>
      </c>
      <c r="F96" s="459">
        <f t="shared" si="39"/>
        <v>2644777.961405823</v>
      </c>
      <c r="G96" s="459">
        <v>9182242</v>
      </c>
      <c r="H96" s="459">
        <f t="shared" ref="H96" si="40">H82*98%</f>
        <v>5304530.0389184682</v>
      </c>
      <c r="I96" s="459">
        <f t="shared" si="39"/>
        <v>7089649.2754920004</v>
      </c>
      <c r="J96" s="459">
        <f t="shared" si="39"/>
        <v>4688659.7696193578</v>
      </c>
      <c r="K96" s="459">
        <f t="shared" si="39"/>
        <v>1378659.5155199999</v>
      </c>
      <c r="L96" s="459">
        <f>SUM(C96:K96)</f>
        <v>95337993.06232205</v>
      </c>
      <c r="M96" s="610">
        <f>SUM(L96)</f>
        <v>95337993.06232205</v>
      </c>
    </row>
    <row r="97" spans="2:16" ht="12" thickBot="1" x14ac:dyDescent="0.2">
      <c r="B97" s="463" t="s">
        <v>247</v>
      </c>
      <c r="C97" s="456">
        <f t="shared" ref="C97" si="41">C85*98%</f>
        <v>62573138.017331339</v>
      </c>
      <c r="D97" s="613">
        <f t="shared" ref="D97:K97" si="42">D85*98%</f>
        <v>52402526.614138119</v>
      </c>
      <c r="E97" s="456">
        <f t="shared" si="42"/>
        <v>13995587.310934037</v>
      </c>
      <c r="F97" s="456">
        <f t="shared" si="42"/>
        <v>263082.63004756026</v>
      </c>
      <c r="G97" s="456">
        <v>8438937</v>
      </c>
      <c r="H97" s="456">
        <f t="shared" ref="H97" si="43">H85*98%</f>
        <v>0</v>
      </c>
      <c r="I97" s="456">
        <f t="shared" si="42"/>
        <v>0</v>
      </c>
      <c r="J97" s="456">
        <f t="shared" si="42"/>
        <v>0</v>
      </c>
      <c r="K97" s="456">
        <f t="shared" si="42"/>
        <v>0</v>
      </c>
      <c r="L97" s="456">
        <f>SUM(C97:K97)</f>
        <v>137673271.57245106</v>
      </c>
      <c r="M97" s="611">
        <f t="shared" si="38"/>
        <v>137673271.57245106</v>
      </c>
    </row>
    <row r="98" spans="2:16" ht="12" thickBot="1" x14ac:dyDescent="0.2">
      <c r="B98" s="458" t="s">
        <v>494</v>
      </c>
      <c r="C98" s="459"/>
      <c r="D98" s="459"/>
      <c r="E98" s="459"/>
      <c r="F98" s="459"/>
      <c r="G98" s="459"/>
      <c r="H98" s="459"/>
      <c r="I98" s="459"/>
      <c r="J98" s="459"/>
      <c r="K98" s="459"/>
      <c r="L98" s="459"/>
      <c r="M98" s="608">
        <f>(L93+M100)/0.96*0.04*0.4</f>
        <v>4545034.7113093007</v>
      </c>
      <c r="N98" s="562">
        <f>SUM(M98+M99)/M93</f>
        <v>4.0000000000000008E-2</v>
      </c>
    </row>
    <row r="99" spans="2:16" ht="12" thickBot="1" x14ac:dyDescent="0.2">
      <c r="B99" s="442" t="s">
        <v>495</v>
      </c>
      <c r="C99" s="194"/>
      <c r="D99" s="194"/>
      <c r="E99" s="194"/>
      <c r="F99" s="194"/>
      <c r="G99" s="194"/>
      <c r="H99" s="194"/>
      <c r="I99" s="194"/>
      <c r="J99" s="194"/>
      <c r="K99" s="194"/>
      <c r="L99" s="455"/>
      <c r="M99" s="609">
        <f>(L93+M100)/0.96*0.04*0.6</f>
        <v>6817552.0669639502</v>
      </c>
    </row>
    <row r="100" spans="2:16" ht="12" thickBot="1" x14ac:dyDescent="0.2">
      <c r="B100" s="442" t="s">
        <v>195</v>
      </c>
      <c r="C100" s="194"/>
      <c r="D100" s="194"/>
      <c r="E100" s="194"/>
      <c r="F100" s="194"/>
      <c r="G100" s="194"/>
      <c r="H100" s="194"/>
      <c r="I100" s="194"/>
      <c r="J100" s="194"/>
      <c r="K100" s="194"/>
      <c r="L100" s="455"/>
      <c r="M100" s="609">
        <f>M35</f>
        <v>17262000</v>
      </c>
    </row>
    <row r="103" spans="2:16" ht="12" thickBot="1" x14ac:dyDescent="0.2"/>
    <row r="104" spans="2:16" ht="34.75" customHeight="1" thickBot="1" x14ac:dyDescent="0.2">
      <c r="B104" s="464" t="s">
        <v>510</v>
      </c>
      <c r="C104" s="465" t="s">
        <v>228</v>
      </c>
      <c r="D104" s="465" t="s">
        <v>229</v>
      </c>
      <c r="E104" s="465" t="s">
        <v>233</v>
      </c>
      <c r="F104" s="465" t="s">
        <v>230</v>
      </c>
      <c r="G104" s="465" t="s">
        <v>231</v>
      </c>
      <c r="H104" s="465" t="s">
        <v>223</v>
      </c>
      <c r="I104" s="465" t="s">
        <v>222</v>
      </c>
      <c r="J104" s="466" t="s">
        <v>224</v>
      </c>
      <c r="K104" s="465" t="s">
        <v>488</v>
      </c>
      <c r="L104" s="466" t="s">
        <v>489</v>
      </c>
      <c r="M104" s="465" t="s">
        <v>493</v>
      </c>
      <c r="O104" s="190" t="s">
        <v>593</v>
      </c>
    </row>
    <row r="105" spans="2:16" ht="15" thickBot="1" x14ac:dyDescent="0.25">
      <c r="B105" s="191" t="s">
        <v>243</v>
      </c>
      <c r="C105" s="192">
        <f>SUM(C106:C110)</f>
        <v>98752987.774677873</v>
      </c>
      <c r="D105" s="612">
        <f t="shared" ref="D105:L105" si="44">SUM(D106:D110)</f>
        <v>90562643.126131922</v>
      </c>
      <c r="E105" s="192">
        <f t="shared" si="44"/>
        <v>29310389.721377268</v>
      </c>
      <c r="F105" s="192">
        <f t="shared" si="44"/>
        <v>3275434.8298241543</v>
      </c>
      <c r="G105" s="192">
        <f t="shared" si="44"/>
        <v>20471644.208841592</v>
      </c>
      <c r="H105" s="192">
        <f t="shared" si="44"/>
        <v>6003615.5959969852</v>
      </c>
      <c r="I105" s="192">
        <f t="shared" si="44"/>
        <v>7928632.3362766802</v>
      </c>
      <c r="J105" s="192">
        <f t="shared" si="44"/>
        <v>5138117.1502320133</v>
      </c>
      <c r="K105" s="192">
        <f t="shared" si="44"/>
        <v>1659820.4155562399</v>
      </c>
      <c r="L105" s="192">
        <f t="shared" si="44"/>
        <v>263103285.15891474</v>
      </c>
      <c r="M105" s="607">
        <f>SUM(M106:M112)</f>
        <v>292047172.04053622</v>
      </c>
      <c r="O105" s="190" t="s">
        <v>227</v>
      </c>
      <c r="P105" s="190" t="b">
        <f>L105=SUM(C105:K105)</f>
        <v>1</v>
      </c>
    </row>
    <row r="106" spans="2:16" ht="12" thickBot="1" x14ac:dyDescent="0.2">
      <c r="B106" s="191" t="s">
        <v>244</v>
      </c>
      <c r="C106" s="459">
        <f>C94*103%</f>
        <v>8288164.9591859197</v>
      </c>
      <c r="D106" s="602">
        <f t="shared" ref="D106:K106" si="45">D94*103%</f>
        <v>5480768.2343620984</v>
      </c>
      <c r="E106" s="459">
        <f t="shared" si="45"/>
        <v>1996725.1330517863</v>
      </c>
      <c r="F106" s="459">
        <f t="shared" si="45"/>
        <v>262397.24346929253</v>
      </c>
      <c r="G106" s="459">
        <f t="shared" si="45"/>
        <v>2000214.3988415923</v>
      </c>
      <c r="H106" s="459">
        <f t="shared" ref="H106" si="46">H94*103%</f>
        <v>539949.65591096343</v>
      </c>
      <c r="I106" s="459">
        <f t="shared" si="45"/>
        <v>517055.04731916002</v>
      </c>
      <c r="J106" s="459">
        <f t="shared" si="45"/>
        <v>308797.58752407518</v>
      </c>
      <c r="K106" s="459">
        <f t="shared" si="45"/>
        <v>191657.64146591999</v>
      </c>
      <c r="L106" s="459">
        <f>SUM(C106:K106)</f>
        <v>19585729.90113081</v>
      </c>
      <c r="M106" s="610">
        <f>SUM(L106)</f>
        <v>19585729.90113081</v>
      </c>
      <c r="O106" s="600" t="s">
        <v>594</v>
      </c>
      <c r="P106" s="190" t="b">
        <f>ROUND(0.04*M105,0)=ROUND(SUM(M110:M111),0)</f>
        <v>1</v>
      </c>
    </row>
    <row r="107" spans="2:16" ht="12" thickBot="1" x14ac:dyDescent="0.2">
      <c r="B107" s="191" t="s">
        <v>245</v>
      </c>
      <c r="C107" s="459">
        <f t="shared" ref="C107:C109" si="47">C95*103%</f>
        <v>1909574.7847043874</v>
      </c>
      <c r="D107" s="602">
        <f t="shared" ref="D107:K107" si="48">D95*103%</f>
        <v>740600.15956506063</v>
      </c>
      <c r="E107" s="459">
        <f t="shared" si="48"/>
        <v>368839.11423482373</v>
      </c>
      <c r="F107" s="459">
        <f t="shared" si="48"/>
        <v>17941.177157877042</v>
      </c>
      <c r="G107" s="459">
        <f t="shared" si="48"/>
        <v>321615.44</v>
      </c>
      <c r="H107" s="459">
        <f t="shared" ref="H107" si="49">H95*103%</f>
        <v>0</v>
      </c>
      <c r="I107" s="459">
        <f t="shared" si="48"/>
        <v>109238.53520076002</v>
      </c>
      <c r="J107" s="459">
        <f t="shared" si="48"/>
        <v>0</v>
      </c>
      <c r="K107" s="459">
        <f t="shared" si="48"/>
        <v>48143.473104719997</v>
      </c>
      <c r="L107" s="459">
        <f>SUM(C107:K107)</f>
        <v>3515952.683967629</v>
      </c>
      <c r="M107" s="610">
        <f t="shared" ref="M107:M109" si="50">SUM(L107)</f>
        <v>3515952.683967629</v>
      </c>
    </row>
    <row r="108" spans="2:16" ht="12" thickBot="1" x14ac:dyDescent="0.2">
      <c r="B108" s="458" t="s">
        <v>246</v>
      </c>
      <c r="C108" s="459">
        <f t="shared" si="47"/>
        <v>24104915.87293629</v>
      </c>
      <c r="D108" s="602">
        <f t="shared" ref="D108:K108" si="51">D96*103%</f>
        <v>30366672.319642503</v>
      </c>
      <c r="E108" s="459">
        <f t="shared" si="51"/>
        <v>12529370.543828601</v>
      </c>
      <c r="F108" s="459">
        <f t="shared" si="51"/>
        <v>2724121.300247998</v>
      </c>
      <c r="G108" s="459">
        <f t="shared" si="51"/>
        <v>9457709.2599999998</v>
      </c>
      <c r="H108" s="459">
        <f t="shared" ref="H108" si="52">H96*103%</f>
        <v>5463665.940086022</v>
      </c>
      <c r="I108" s="459">
        <f t="shared" si="51"/>
        <v>7302338.7537567606</v>
      </c>
      <c r="J108" s="459">
        <f t="shared" si="51"/>
        <v>4829319.5627079383</v>
      </c>
      <c r="K108" s="459">
        <f t="shared" si="51"/>
        <v>1420019.3009855999</v>
      </c>
      <c r="L108" s="459">
        <f>SUM(C108:K108)</f>
        <v>98198132.85419172</v>
      </c>
      <c r="M108" s="610">
        <f t="shared" si="50"/>
        <v>98198132.85419172</v>
      </c>
    </row>
    <row r="109" spans="2:16" ht="12" thickBot="1" x14ac:dyDescent="0.2">
      <c r="B109" s="463" t="s">
        <v>247</v>
      </c>
      <c r="C109" s="456">
        <f t="shared" si="47"/>
        <v>64450332.157851279</v>
      </c>
      <c r="D109" s="613">
        <f t="shared" ref="D109:K109" si="53">D97*103%</f>
        <v>53974602.412562266</v>
      </c>
      <c r="E109" s="456">
        <f t="shared" si="53"/>
        <v>14415454.930262059</v>
      </c>
      <c r="F109" s="456">
        <f t="shared" si="53"/>
        <v>270975.10894898709</v>
      </c>
      <c r="G109" s="456">
        <f t="shared" si="53"/>
        <v>8692105.1099999994</v>
      </c>
      <c r="H109" s="456">
        <f t="shared" ref="H109" si="54">H97*103%</f>
        <v>0</v>
      </c>
      <c r="I109" s="456">
        <f t="shared" si="53"/>
        <v>0</v>
      </c>
      <c r="J109" s="456">
        <f t="shared" si="53"/>
        <v>0</v>
      </c>
      <c r="K109" s="456">
        <f t="shared" si="53"/>
        <v>0</v>
      </c>
      <c r="L109" s="456">
        <f>SUM(C109:K109)</f>
        <v>141803469.71962458</v>
      </c>
      <c r="M109" s="611">
        <f t="shared" si="50"/>
        <v>141803469.71962458</v>
      </c>
    </row>
    <row r="110" spans="2:16" ht="12" thickBot="1" x14ac:dyDescent="0.2">
      <c r="B110" s="458" t="s">
        <v>494</v>
      </c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608">
        <f>(L105+M112)/0.96*0.04*0.4</f>
        <v>4672754.7526485799</v>
      </c>
      <c r="N110" s="562">
        <f>SUM(M110+M111)/M105</f>
        <v>0.04</v>
      </c>
    </row>
    <row r="111" spans="2:16" ht="12" thickBot="1" x14ac:dyDescent="0.2">
      <c r="B111" s="442" t="s">
        <v>495</v>
      </c>
      <c r="C111" s="194"/>
      <c r="D111" s="194"/>
      <c r="E111" s="194"/>
      <c r="F111" s="194"/>
      <c r="G111" s="194"/>
      <c r="H111" s="194"/>
      <c r="I111" s="194"/>
      <c r="J111" s="194"/>
      <c r="K111" s="194"/>
      <c r="L111" s="455"/>
      <c r="M111" s="609">
        <f>(L105+M112)/0.96*0.04*0.6</f>
        <v>7009132.1289728684</v>
      </c>
    </row>
    <row r="112" spans="2:16" ht="12" thickBot="1" x14ac:dyDescent="0.2">
      <c r="B112" s="442" t="s">
        <v>195</v>
      </c>
      <c r="C112" s="194"/>
      <c r="D112" s="194"/>
      <c r="E112" s="194"/>
      <c r="F112" s="194"/>
      <c r="G112" s="194"/>
      <c r="H112" s="194"/>
      <c r="I112" s="194"/>
      <c r="J112" s="194"/>
      <c r="K112" s="194"/>
      <c r="L112" s="455"/>
      <c r="M112" s="457">
        <f>M35</f>
        <v>17262000</v>
      </c>
    </row>
    <row r="115" spans="2:16" ht="12" thickBot="1" x14ac:dyDescent="0.2"/>
    <row r="116" spans="2:16" ht="34.75" customHeight="1" thickBot="1" x14ac:dyDescent="0.2">
      <c r="B116" s="464" t="s">
        <v>511</v>
      </c>
      <c r="C116" s="465" t="s">
        <v>228</v>
      </c>
      <c r="D116" s="465" t="s">
        <v>229</v>
      </c>
      <c r="E116" s="465" t="s">
        <v>233</v>
      </c>
      <c r="F116" s="465" t="s">
        <v>230</v>
      </c>
      <c r="G116" s="465" t="s">
        <v>231</v>
      </c>
      <c r="H116" s="465" t="s">
        <v>223</v>
      </c>
      <c r="I116" s="465" t="s">
        <v>222</v>
      </c>
      <c r="J116" s="466" t="s">
        <v>224</v>
      </c>
      <c r="K116" s="465" t="s">
        <v>488</v>
      </c>
      <c r="L116" s="466" t="s">
        <v>489</v>
      </c>
      <c r="M116" s="465" t="s">
        <v>493</v>
      </c>
      <c r="O116" s="190" t="s">
        <v>593</v>
      </c>
    </row>
    <row r="117" spans="2:16" ht="15" thickBot="1" x14ac:dyDescent="0.25">
      <c r="B117" s="191" t="s">
        <v>243</v>
      </c>
      <c r="C117" s="192">
        <f>SUM(C118:C122)</f>
        <v>101715577.40791821</v>
      </c>
      <c r="D117" s="612">
        <f t="shared" ref="D117:L117" si="55">SUM(D118:D122)</f>
        <v>93279522.419915885</v>
      </c>
      <c r="E117" s="192">
        <f t="shared" si="55"/>
        <v>30189701.413018592</v>
      </c>
      <c r="F117" s="192">
        <f t="shared" si="55"/>
        <v>3373697.8747188789</v>
      </c>
      <c r="G117" s="192">
        <f t="shared" si="55"/>
        <v>21085793.535106838</v>
      </c>
      <c r="H117" s="192">
        <f t="shared" si="55"/>
        <v>6183724.0638768952</v>
      </c>
      <c r="I117" s="192">
        <f t="shared" si="55"/>
        <v>8166491.3063649815</v>
      </c>
      <c r="J117" s="192">
        <f t="shared" si="55"/>
        <v>5292260.6647389736</v>
      </c>
      <c r="K117" s="192">
        <f t="shared" si="55"/>
        <v>1709615.028022927</v>
      </c>
      <c r="L117" s="192">
        <f t="shared" si="55"/>
        <v>270996383.71368217</v>
      </c>
      <c r="M117" s="607">
        <f>SUM(M118:M124)</f>
        <v>300269149.70175225</v>
      </c>
      <c r="O117" s="190" t="s">
        <v>227</v>
      </c>
      <c r="P117" s="190" t="b">
        <f>L117=SUM(C117:K117)</f>
        <v>1</v>
      </c>
    </row>
    <row r="118" spans="2:16" ht="12" thickBot="1" x14ac:dyDescent="0.2">
      <c r="B118" s="191" t="s">
        <v>244</v>
      </c>
      <c r="C118" s="459">
        <f>C106*103%</f>
        <v>8536809.9079614971</v>
      </c>
      <c r="D118" s="602">
        <f t="shared" ref="D118:K118" si="56">D106*103%</f>
        <v>5645191.2813929617</v>
      </c>
      <c r="E118" s="459">
        <f t="shared" si="56"/>
        <v>2056626.8870433399</v>
      </c>
      <c r="F118" s="459">
        <f t="shared" si="56"/>
        <v>270269.16077337129</v>
      </c>
      <c r="G118" s="459">
        <f t="shared" si="56"/>
        <v>2060220.83080684</v>
      </c>
      <c r="H118" s="459">
        <f t="shared" ref="H118" si="57">H106*103%</f>
        <v>556148.14558829239</v>
      </c>
      <c r="I118" s="459">
        <f t="shared" si="56"/>
        <v>532566.69873873482</v>
      </c>
      <c r="J118" s="459">
        <f t="shared" si="56"/>
        <v>318061.51514979743</v>
      </c>
      <c r="K118" s="459">
        <f t="shared" si="56"/>
        <v>197407.3707098976</v>
      </c>
      <c r="L118" s="459">
        <f>SUM(C118:K118)</f>
        <v>20173301.798164733</v>
      </c>
      <c r="M118" s="610">
        <f>SUM(L118)</f>
        <v>20173301.798164733</v>
      </c>
      <c r="O118" s="600" t="s">
        <v>594</v>
      </c>
      <c r="P118" s="190" t="b">
        <f>ROUND(0.04*M117,0)=ROUND(SUM(M122:M123),0)</f>
        <v>1</v>
      </c>
    </row>
    <row r="119" spans="2:16" ht="12" thickBot="1" x14ac:dyDescent="0.2">
      <c r="B119" s="191" t="s">
        <v>245</v>
      </c>
      <c r="C119" s="459">
        <f t="shared" ref="C119:C121" si="58">C107*103%</f>
        <v>1966862.0282455191</v>
      </c>
      <c r="D119" s="602">
        <f t="shared" ref="D119:K119" si="59">D107*103%</f>
        <v>762818.16435201245</v>
      </c>
      <c r="E119" s="459">
        <f t="shared" si="59"/>
        <v>379904.28766186844</v>
      </c>
      <c r="F119" s="459">
        <f t="shared" si="59"/>
        <v>18479.412472613352</v>
      </c>
      <c r="G119" s="459">
        <f t="shared" si="59"/>
        <v>331263.9032</v>
      </c>
      <c r="H119" s="459">
        <f t="shared" ref="H119" si="60">H107*103%</f>
        <v>0</v>
      </c>
      <c r="I119" s="459">
        <f t="shared" si="59"/>
        <v>112515.69125678283</v>
      </c>
      <c r="J119" s="459">
        <f t="shared" si="59"/>
        <v>0</v>
      </c>
      <c r="K119" s="459">
        <f t="shared" si="59"/>
        <v>49587.777297861598</v>
      </c>
      <c r="L119" s="459">
        <f>SUM(C119:K119)</f>
        <v>3621431.2644866579</v>
      </c>
      <c r="M119" s="610">
        <f t="shared" ref="M119:M121" si="61">SUM(L119)</f>
        <v>3621431.2644866579</v>
      </c>
    </row>
    <row r="120" spans="2:16" ht="12" thickBot="1" x14ac:dyDescent="0.2">
      <c r="B120" s="458" t="s">
        <v>246</v>
      </c>
      <c r="C120" s="459">
        <f t="shared" si="58"/>
        <v>24828063.349124379</v>
      </c>
      <c r="D120" s="602">
        <f t="shared" ref="D120:K120" si="62">D108*103%</f>
        <v>31277672.48923178</v>
      </c>
      <c r="E120" s="459">
        <f t="shared" si="62"/>
        <v>12905251.660143459</v>
      </c>
      <c r="F120" s="459">
        <f t="shared" si="62"/>
        <v>2805844.9392554378</v>
      </c>
      <c r="G120" s="459">
        <f t="shared" si="62"/>
        <v>9741440.5377999991</v>
      </c>
      <c r="H120" s="459">
        <f t="shared" ref="H120" si="63">H108*103%</f>
        <v>5627575.9182886025</v>
      </c>
      <c r="I120" s="459">
        <f t="shared" si="62"/>
        <v>7521408.9163694633</v>
      </c>
      <c r="J120" s="459">
        <f t="shared" si="62"/>
        <v>4974199.1495891763</v>
      </c>
      <c r="K120" s="459">
        <f t="shared" si="62"/>
        <v>1462619.8800151679</v>
      </c>
      <c r="L120" s="459">
        <f>SUM(C120:K120)</f>
        <v>101144076.83981746</v>
      </c>
      <c r="M120" s="610">
        <f t="shared" si="61"/>
        <v>101144076.83981746</v>
      </c>
    </row>
    <row r="121" spans="2:16" ht="12" thickBot="1" x14ac:dyDescent="0.2">
      <c r="B121" s="463" t="s">
        <v>247</v>
      </c>
      <c r="C121" s="456">
        <f t="shared" si="58"/>
        <v>66383842.122586817</v>
      </c>
      <c r="D121" s="613">
        <f t="shared" ref="D121:K121" si="64">D109*103%</f>
        <v>55593840.484939136</v>
      </c>
      <c r="E121" s="456">
        <f t="shared" si="64"/>
        <v>14847918.578169921</v>
      </c>
      <c r="F121" s="456">
        <f t="shared" si="64"/>
        <v>279104.36221745674</v>
      </c>
      <c r="G121" s="456">
        <f t="shared" si="64"/>
        <v>8952868.2632999998</v>
      </c>
      <c r="H121" s="456">
        <f t="shared" ref="H121" si="65">H109*103%</f>
        <v>0</v>
      </c>
      <c r="I121" s="456">
        <f t="shared" si="64"/>
        <v>0</v>
      </c>
      <c r="J121" s="456">
        <f t="shared" si="64"/>
        <v>0</v>
      </c>
      <c r="K121" s="456">
        <f t="shared" si="64"/>
        <v>0</v>
      </c>
      <c r="L121" s="456">
        <f>SUM(C121:K121)</f>
        <v>146057573.81121331</v>
      </c>
      <c r="M121" s="611">
        <f t="shared" si="61"/>
        <v>146057573.81121331</v>
      </c>
    </row>
    <row r="122" spans="2:16" ht="12" thickBot="1" x14ac:dyDescent="0.2">
      <c r="B122" s="458" t="s">
        <v>494</v>
      </c>
      <c r="C122" s="459"/>
      <c r="D122" s="459"/>
      <c r="E122" s="459"/>
      <c r="F122" s="459"/>
      <c r="G122" s="459"/>
      <c r="H122" s="459"/>
      <c r="I122" s="459"/>
      <c r="J122" s="459"/>
      <c r="K122" s="459"/>
      <c r="L122" s="459"/>
      <c r="M122" s="608">
        <f>(L117+M124)/0.96*0.04*0.4</f>
        <v>4804306.3952280376</v>
      </c>
      <c r="N122" s="562">
        <f>SUM(M122+M123)/M117</f>
        <v>4.0000000000000008E-2</v>
      </c>
    </row>
    <row r="123" spans="2:16" ht="12" thickBot="1" x14ac:dyDescent="0.2">
      <c r="B123" s="442" t="s">
        <v>495</v>
      </c>
      <c r="C123" s="194"/>
      <c r="D123" s="194"/>
      <c r="E123" s="194"/>
      <c r="F123" s="194"/>
      <c r="G123" s="194"/>
      <c r="H123" s="194"/>
      <c r="I123" s="194"/>
      <c r="J123" s="194"/>
      <c r="K123" s="194"/>
      <c r="L123" s="455"/>
      <c r="M123" s="609">
        <f>(L117+M124)/0.96*0.04*0.6</f>
        <v>7206459.5928420555</v>
      </c>
    </row>
    <row r="124" spans="2:16" ht="12" thickBot="1" x14ac:dyDescent="0.2">
      <c r="B124" s="442" t="s">
        <v>195</v>
      </c>
      <c r="C124" s="194"/>
      <c r="D124" s="194"/>
      <c r="E124" s="194"/>
      <c r="F124" s="194"/>
      <c r="G124" s="194"/>
      <c r="H124" s="194"/>
      <c r="I124" s="194"/>
      <c r="J124" s="194"/>
      <c r="K124" s="194"/>
      <c r="L124" s="455"/>
      <c r="M124" s="457">
        <f>M35</f>
        <v>17262000</v>
      </c>
    </row>
    <row r="127" spans="2:16" ht="12" thickBot="1" x14ac:dyDescent="0.2"/>
    <row r="128" spans="2:16" ht="35.5" customHeight="1" thickBot="1" x14ac:dyDescent="0.2">
      <c r="B128" s="464" t="s">
        <v>512</v>
      </c>
      <c r="C128" s="465" t="s">
        <v>228</v>
      </c>
      <c r="D128" s="465" t="s">
        <v>229</v>
      </c>
      <c r="E128" s="465" t="s">
        <v>233</v>
      </c>
      <c r="F128" s="465" t="s">
        <v>230</v>
      </c>
      <c r="G128" s="465" t="s">
        <v>231</v>
      </c>
      <c r="H128" s="465" t="s">
        <v>223</v>
      </c>
      <c r="I128" s="465" t="s">
        <v>222</v>
      </c>
      <c r="J128" s="466" t="s">
        <v>224</v>
      </c>
      <c r="K128" s="465" t="s">
        <v>488</v>
      </c>
      <c r="L128" s="466" t="s">
        <v>489</v>
      </c>
      <c r="M128" s="465" t="s">
        <v>493</v>
      </c>
      <c r="O128" s="190" t="s">
        <v>593</v>
      </c>
    </row>
    <row r="129" spans="2:16" ht="15" thickBot="1" x14ac:dyDescent="0.25">
      <c r="B129" s="191" t="s">
        <v>243</v>
      </c>
      <c r="C129" s="192">
        <f>SUM(C130:C134)</f>
        <v>104767044.73015577</v>
      </c>
      <c r="D129" s="612">
        <f t="shared" ref="D129:L129" si="66">SUM(D130:D134)</f>
        <v>96077908.092513368</v>
      </c>
      <c r="E129" s="192">
        <f t="shared" si="66"/>
        <v>31095392.455409147</v>
      </c>
      <c r="F129" s="192">
        <f t="shared" si="66"/>
        <v>3474908.8109604456</v>
      </c>
      <c r="G129" s="192">
        <f t="shared" si="66"/>
        <v>21718367.341160044</v>
      </c>
      <c r="H129" s="192">
        <f t="shared" si="66"/>
        <v>6369235.785793202</v>
      </c>
      <c r="I129" s="192">
        <f t="shared" si="66"/>
        <v>8411486.0455559306</v>
      </c>
      <c r="J129" s="192">
        <f t="shared" si="66"/>
        <v>5451028.4846811434</v>
      </c>
      <c r="K129" s="192">
        <f t="shared" si="66"/>
        <v>1760903.4788636151</v>
      </c>
      <c r="L129" s="192">
        <f t="shared" si="66"/>
        <v>279126275.22509265</v>
      </c>
      <c r="M129" s="607">
        <f>SUM(M130:M136)</f>
        <v>308737786.69280487</v>
      </c>
      <c r="O129" s="190" t="s">
        <v>227</v>
      </c>
      <c r="P129" s="190" t="b">
        <f>L129=SUM(C129:K129)</f>
        <v>1</v>
      </c>
    </row>
    <row r="130" spans="2:16" ht="12" thickBot="1" x14ac:dyDescent="0.2">
      <c r="B130" s="191" t="s">
        <v>244</v>
      </c>
      <c r="C130" s="459">
        <f>C118*103%</f>
        <v>8792914.2052003425</v>
      </c>
      <c r="D130" s="602">
        <f t="shared" ref="D130:K130" si="67">D118*103%</f>
        <v>5814547.0198347503</v>
      </c>
      <c r="E130" s="459">
        <f t="shared" si="67"/>
        <v>2118325.6936546401</v>
      </c>
      <c r="F130" s="459">
        <f t="shared" si="67"/>
        <v>278377.23559657246</v>
      </c>
      <c r="G130" s="459">
        <f t="shared" si="67"/>
        <v>2122027.4557310455</v>
      </c>
      <c r="H130" s="459">
        <f t="shared" ref="H130" si="68">H118*103%</f>
        <v>572832.58995594119</v>
      </c>
      <c r="I130" s="459">
        <f t="shared" si="67"/>
        <v>548543.69970089686</v>
      </c>
      <c r="J130" s="459">
        <f t="shared" si="67"/>
        <v>327603.36060429137</v>
      </c>
      <c r="K130" s="459">
        <f t="shared" si="67"/>
        <v>203329.59183119453</v>
      </c>
      <c r="L130" s="459">
        <f>SUM(C130:K130)</f>
        <v>20778500.852109674</v>
      </c>
      <c r="M130" s="610">
        <f>SUM(L130)</f>
        <v>20778500.852109674</v>
      </c>
      <c r="O130" s="600" t="s">
        <v>594</v>
      </c>
      <c r="P130" s="190" t="b">
        <f>ROUND(0.04*M129,0)=ROUND(SUM(M134:M135),0)</f>
        <v>1</v>
      </c>
    </row>
    <row r="131" spans="2:16" ht="12" thickBot="1" x14ac:dyDescent="0.2">
      <c r="B131" s="191" t="s">
        <v>245</v>
      </c>
      <c r="C131" s="459">
        <f t="shared" ref="C131:C133" si="69">C119*103%</f>
        <v>2025867.8890928847</v>
      </c>
      <c r="D131" s="602">
        <f t="shared" ref="D131:K131" si="70">D119*103%</f>
        <v>785702.70928257285</v>
      </c>
      <c r="E131" s="459">
        <f t="shared" si="70"/>
        <v>391301.41629172448</v>
      </c>
      <c r="F131" s="459">
        <f t="shared" si="70"/>
        <v>19033.794846791752</v>
      </c>
      <c r="G131" s="459">
        <f t="shared" si="70"/>
        <v>341201.82029599999</v>
      </c>
      <c r="H131" s="459">
        <f t="shared" ref="H131" si="71">H119*103%</f>
        <v>0</v>
      </c>
      <c r="I131" s="459">
        <f t="shared" si="70"/>
        <v>115891.16199448632</v>
      </c>
      <c r="J131" s="459">
        <f t="shared" si="70"/>
        <v>0</v>
      </c>
      <c r="K131" s="459">
        <f t="shared" si="70"/>
        <v>51075.410616797446</v>
      </c>
      <c r="L131" s="459">
        <f>SUM(C131:K131)</f>
        <v>3730074.2024212573</v>
      </c>
      <c r="M131" s="610">
        <f t="shared" ref="M131:M133" si="72">SUM(L131)</f>
        <v>3730074.2024212573</v>
      </c>
    </row>
    <row r="132" spans="2:16" ht="12" thickBot="1" x14ac:dyDescent="0.2">
      <c r="B132" s="458" t="s">
        <v>246</v>
      </c>
      <c r="C132" s="459">
        <f t="shared" si="69"/>
        <v>25572905.249598112</v>
      </c>
      <c r="D132" s="602">
        <f t="shared" ref="D132:K132" si="73">D120*103%</f>
        <v>32216002.663908735</v>
      </c>
      <c r="E132" s="459">
        <f t="shared" si="73"/>
        <v>13292409.209947763</v>
      </c>
      <c r="F132" s="459">
        <f t="shared" si="73"/>
        <v>2890020.2874331009</v>
      </c>
      <c r="G132" s="459">
        <f t="shared" si="73"/>
        <v>10033683.753934</v>
      </c>
      <c r="H132" s="459">
        <f t="shared" ref="H132" si="74">H120*103%</f>
        <v>5796403.1958372612</v>
      </c>
      <c r="I132" s="459">
        <f t="shared" si="73"/>
        <v>7747051.1838605478</v>
      </c>
      <c r="J132" s="459">
        <f t="shared" si="73"/>
        <v>5123425.1240768516</v>
      </c>
      <c r="K132" s="459">
        <f t="shared" si="73"/>
        <v>1506498.476415623</v>
      </c>
      <c r="L132" s="459">
        <f>SUM(C132:K132)</f>
        <v>104178399.14501199</v>
      </c>
      <c r="M132" s="610">
        <f t="shared" si="72"/>
        <v>104178399.14501199</v>
      </c>
    </row>
    <row r="133" spans="2:16" ht="12" thickBot="1" x14ac:dyDescent="0.2">
      <c r="B133" s="463" t="s">
        <v>247</v>
      </c>
      <c r="C133" s="456">
        <f t="shared" si="69"/>
        <v>68375357.386264428</v>
      </c>
      <c r="D133" s="613">
        <f t="shared" ref="D133:K133" si="75">D121*103%</f>
        <v>57261655.699487314</v>
      </c>
      <c r="E133" s="456">
        <f t="shared" si="75"/>
        <v>15293356.135515019</v>
      </c>
      <c r="F133" s="456">
        <f t="shared" si="75"/>
        <v>287477.49308398046</v>
      </c>
      <c r="G133" s="456">
        <f t="shared" si="75"/>
        <v>9221454.3111990001</v>
      </c>
      <c r="H133" s="456">
        <f t="shared" ref="H133" si="76">H121*103%</f>
        <v>0</v>
      </c>
      <c r="I133" s="456">
        <f t="shared" si="75"/>
        <v>0</v>
      </c>
      <c r="J133" s="456">
        <f t="shared" si="75"/>
        <v>0</v>
      </c>
      <c r="K133" s="456">
        <f t="shared" si="75"/>
        <v>0</v>
      </c>
      <c r="L133" s="456">
        <f>SUM(C133:K133)</f>
        <v>150439301.02554974</v>
      </c>
      <c r="M133" s="611">
        <f t="shared" si="72"/>
        <v>150439301.02554974</v>
      </c>
    </row>
    <row r="134" spans="2:16" ht="12" thickBot="1" x14ac:dyDescent="0.2">
      <c r="B134" s="458" t="s">
        <v>494</v>
      </c>
      <c r="C134" s="459"/>
      <c r="D134" s="459"/>
      <c r="E134" s="459"/>
      <c r="F134" s="459"/>
      <c r="G134" s="459"/>
      <c r="H134" s="459"/>
      <c r="I134" s="459"/>
      <c r="J134" s="459"/>
      <c r="K134" s="459"/>
      <c r="L134" s="459"/>
      <c r="M134" s="608">
        <f>(L129+M136)/0.96*0.04*0.4</f>
        <v>4939804.5870848782</v>
      </c>
      <c r="N134" s="562">
        <f>SUM(M134+M135)/M129</f>
        <v>0.04</v>
      </c>
    </row>
    <row r="135" spans="2:16" ht="12" thickBot="1" x14ac:dyDescent="0.2">
      <c r="B135" s="442" t="s">
        <v>495</v>
      </c>
      <c r="C135" s="194"/>
      <c r="D135" s="194"/>
      <c r="E135" s="194"/>
      <c r="F135" s="194"/>
      <c r="G135" s="194"/>
      <c r="H135" s="194"/>
      <c r="I135" s="194"/>
      <c r="J135" s="194"/>
      <c r="K135" s="194"/>
      <c r="L135" s="455"/>
      <c r="M135" s="609">
        <f>(L129+M136)/0.96*0.04*0.6</f>
        <v>7409706.8806273174</v>
      </c>
    </row>
    <row r="136" spans="2:16" ht="12" thickBot="1" x14ac:dyDescent="0.2">
      <c r="B136" s="442" t="s">
        <v>195</v>
      </c>
      <c r="C136" s="194"/>
      <c r="D136" s="194"/>
      <c r="E136" s="194"/>
      <c r="F136" s="194"/>
      <c r="G136" s="194"/>
      <c r="H136" s="194"/>
      <c r="I136" s="194"/>
      <c r="J136" s="194"/>
      <c r="K136" s="194"/>
      <c r="L136" s="455"/>
      <c r="M136" s="457">
        <f>M35</f>
        <v>17262000</v>
      </c>
    </row>
    <row r="139" spans="2:16" ht="12" thickBot="1" x14ac:dyDescent="0.2"/>
    <row r="140" spans="2:16" ht="35.5" customHeight="1" thickBot="1" x14ac:dyDescent="0.2">
      <c r="B140" s="464" t="s">
        <v>513</v>
      </c>
      <c r="C140" s="465" t="s">
        <v>228</v>
      </c>
      <c r="D140" s="465" t="s">
        <v>229</v>
      </c>
      <c r="E140" s="465" t="s">
        <v>233</v>
      </c>
      <c r="F140" s="465" t="s">
        <v>230</v>
      </c>
      <c r="G140" s="465" t="s">
        <v>231</v>
      </c>
      <c r="H140" s="465" t="s">
        <v>223</v>
      </c>
      <c r="I140" s="465" t="s">
        <v>222</v>
      </c>
      <c r="J140" s="466" t="s">
        <v>224</v>
      </c>
      <c r="K140" s="465" t="s">
        <v>488</v>
      </c>
      <c r="L140" s="466" t="s">
        <v>489</v>
      </c>
      <c r="M140" s="465" t="s">
        <v>493</v>
      </c>
      <c r="O140" s="190" t="s">
        <v>593</v>
      </c>
    </row>
    <row r="141" spans="2:16" ht="15" thickBot="1" x14ac:dyDescent="0.25">
      <c r="B141" s="191" t="s">
        <v>243</v>
      </c>
      <c r="C141" s="192">
        <f>SUM(C142:C146)</f>
        <v>107910056.07206045</v>
      </c>
      <c r="D141" s="612">
        <f t="shared" ref="D141:L141" si="77">SUM(D142:D146)</f>
        <v>98960245.335288763</v>
      </c>
      <c r="E141" s="192">
        <f t="shared" si="77"/>
        <v>32028254.229071423</v>
      </c>
      <c r="F141" s="192">
        <f t="shared" si="77"/>
        <v>3579156.0752892587</v>
      </c>
      <c r="G141" s="192">
        <f t="shared" si="77"/>
        <v>22369918.361394845</v>
      </c>
      <c r="H141" s="192">
        <f t="shared" si="77"/>
        <v>6560312.8593669981</v>
      </c>
      <c r="I141" s="192">
        <f t="shared" si="77"/>
        <v>8663830.6269226093</v>
      </c>
      <c r="J141" s="192">
        <f t="shared" si="77"/>
        <v>5614559.3392215772</v>
      </c>
      <c r="K141" s="192">
        <f t="shared" si="77"/>
        <v>1813730.5832295234</v>
      </c>
      <c r="L141" s="192">
        <f t="shared" si="77"/>
        <v>287500063.48184544</v>
      </c>
      <c r="M141" s="607">
        <f>SUM(M142:M148)</f>
        <v>317460482.793589</v>
      </c>
      <c r="O141" s="190" t="s">
        <v>227</v>
      </c>
      <c r="P141" s="190" t="b">
        <f>L141=SUM(C141:K141)</f>
        <v>1</v>
      </c>
    </row>
    <row r="142" spans="2:16" ht="12" thickBot="1" x14ac:dyDescent="0.2">
      <c r="B142" s="191" t="s">
        <v>244</v>
      </c>
      <c r="C142" s="459">
        <f>C130*103%</f>
        <v>9056701.6313563529</v>
      </c>
      <c r="D142" s="602">
        <f t="shared" ref="D142:K142" si="78">D130*103%</f>
        <v>5988983.430429793</v>
      </c>
      <c r="E142" s="459">
        <f t="shared" si="78"/>
        <v>2181875.4644642794</v>
      </c>
      <c r="F142" s="459">
        <f t="shared" si="78"/>
        <v>286728.55266446964</v>
      </c>
      <c r="G142" s="459">
        <f t="shared" si="78"/>
        <v>2185688.2794029769</v>
      </c>
      <c r="H142" s="459">
        <f t="shared" ref="H142" si="79">H130*103%</f>
        <v>590017.56765461946</v>
      </c>
      <c r="I142" s="459">
        <f t="shared" si="78"/>
        <v>565000.01069192379</v>
      </c>
      <c r="J142" s="459">
        <f t="shared" si="78"/>
        <v>337431.46142242011</v>
      </c>
      <c r="K142" s="459">
        <f t="shared" si="78"/>
        <v>209429.47958613036</v>
      </c>
      <c r="L142" s="459">
        <f>SUM(C142:K142)</f>
        <v>21401855.87767297</v>
      </c>
      <c r="M142" s="610">
        <f>SUM(L142)</f>
        <v>21401855.87767297</v>
      </c>
      <c r="O142" s="600" t="s">
        <v>594</v>
      </c>
      <c r="P142" s="190" t="b">
        <f>ROUND(0.04*M141,0)=ROUND(SUM(M146:M147),0)</f>
        <v>1</v>
      </c>
    </row>
    <row r="143" spans="2:16" ht="12" thickBot="1" x14ac:dyDescent="0.2">
      <c r="B143" s="191" t="s">
        <v>245</v>
      </c>
      <c r="C143" s="459">
        <f t="shared" ref="C143:C145" si="80">C131*103%</f>
        <v>2086643.9257656713</v>
      </c>
      <c r="D143" s="602">
        <f t="shared" ref="D143:K143" si="81">D131*103%</f>
        <v>809273.79056105006</v>
      </c>
      <c r="E143" s="459">
        <f t="shared" si="81"/>
        <v>403040.45878047624</v>
      </c>
      <c r="F143" s="459">
        <f t="shared" si="81"/>
        <v>19604.808692195504</v>
      </c>
      <c r="G143" s="459">
        <f t="shared" si="81"/>
        <v>351437.87490488001</v>
      </c>
      <c r="H143" s="459">
        <f t="shared" ref="H143" si="82">H131*103%</f>
        <v>0</v>
      </c>
      <c r="I143" s="459">
        <f t="shared" si="81"/>
        <v>119367.89685432092</v>
      </c>
      <c r="J143" s="459">
        <f t="shared" si="81"/>
        <v>0</v>
      </c>
      <c r="K143" s="459">
        <f t="shared" si="81"/>
        <v>52607.672935301372</v>
      </c>
      <c r="L143" s="459">
        <f>SUM(C143:K143)</f>
        <v>3841976.4284938956</v>
      </c>
      <c r="M143" s="610">
        <f t="shared" ref="M143:M145" si="83">SUM(L143)</f>
        <v>3841976.4284938956</v>
      </c>
    </row>
    <row r="144" spans="2:16" ht="12" thickBot="1" x14ac:dyDescent="0.2">
      <c r="B144" s="458" t="s">
        <v>246</v>
      </c>
      <c r="C144" s="459">
        <f t="shared" si="80"/>
        <v>26340092.407086056</v>
      </c>
      <c r="D144" s="602">
        <f t="shared" ref="D144:K144" si="84">D132*103%</f>
        <v>33182482.743825998</v>
      </c>
      <c r="E144" s="459">
        <f t="shared" si="84"/>
        <v>13691181.486246197</v>
      </c>
      <c r="F144" s="459">
        <f t="shared" si="84"/>
        <v>2976720.8960560937</v>
      </c>
      <c r="G144" s="459">
        <f t="shared" si="84"/>
        <v>10334694.26655202</v>
      </c>
      <c r="H144" s="459">
        <f t="shared" ref="H144" si="85">H132*103%</f>
        <v>5970295.2917123791</v>
      </c>
      <c r="I144" s="459">
        <f t="shared" si="84"/>
        <v>7979462.7193763647</v>
      </c>
      <c r="J144" s="459">
        <f t="shared" si="84"/>
        <v>5277127.8777991571</v>
      </c>
      <c r="K144" s="459">
        <f t="shared" si="84"/>
        <v>1551693.4307080917</v>
      </c>
      <c r="L144" s="459">
        <f>SUM(C144:K144)</f>
        <v>107303751.11936235</v>
      </c>
      <c r="M144" s="610">
        <f t="shared" si="83"/>
        <v>107303751.11936235</v>
      </c>
    </row>
    <row r="145" spans="2:14" ht="12" thickBot="1" x14ac:dyDescent="0.2">
      <c r="B145" s="463" t="s">
        <v>247</v>
      </c>
      <c r="C145" s="456">
        <f t="shared" si="80"/>
        <v>70426618.10785237</v>
      </c>
      <c r="D145" s="613">
        <f t="shared" ref="D145:K145" si="86">D133*103%</f>
        <v>58979505.370471932</v>
      </c>
      <c r="E145" s="456">
        <f t="shared" si="86"/>
        <v>15752156.819580471</v>
      </c>
      <c r="F145" s="456">
        <f t="shared" si="86"/>
        <v>296101.8178764999</v>
      </c>
      <c r="G145" s="456">
        <f t="shared" si="86"/>
        <v>9498097.9405349698</v>
      </c>
      <c r="H145" s="456">
        <f t="shared" ref="H145" si="87">H133*103%</f>
        <v>0</v>
      </c>
      <c r="I145" s="456">
        <f t="shared" si="86"/>
        <v>0</v>
      </c>
      <c r="J145" s="456">
        <f t="shared" si="86"/>
        <v>0</v>
      </c>
      <c r="K145" s="456">
        <f t="shared" si="86"/>
        <v>0</v>
      </c>
      <c r="L145" s="456">
        <f>SUM(C145:K145)</f>
        <v>154952480.05631623</v>
      </c>
      <c r="M145" s="611">
        <f t="shared" si="83"/>
        <v>154952480.05631623</v>
      </c>
    </row>
    <row r="146" spans="2:14" ht="12" thickBot="1" x14ac:dyDescent="0.2">
      <c r="B146" s="458" t="s">
        <v>494</v>
      </c>
      <c r="C146" s="459"/>
      <c r="D146" s="459"/>
      <c r="E146" s="459"/>
      <c r="F146" s="459"/>
      <c r="G146" s="459"/>
      <c r="H146" s="459"/>
      <c r="I146" s="459"/>
      <c r="J146" s="459"/>
      <c r="K146" s="459"/>
      <c r="L146" s="459"/>
      <c r="M146" s="608">
        <f>(L141+M148)/0.96*0.04*0.4</f>
        <v>5079367.7246974241</v>
      </c>
      <c r="N146" s="562">
        <f>SUM(M146+M147)/M141</f>
        <v>0.04</v>
      </c>
    </row>
    <row r="147" spans="2:14" ht="12" thickBot="1" x14ac:dyDescent="0.2">
      <c r="B147" s="442" t="s">
        <v>495</v>
      </c>
      <c r="C147" s="194"/>
      <c r="D147" s="194"/>
      <c r="E147" s="194"/>
      <c r="F147" s="194"/>
      <c r="G147" s="194"/>
      <c r="H147" s="194"/>
      <c r="I147" s="194"/>
      <c r="J147" s="194"/>
      <c r="K147" s="194"/>
      <c r="L147" s="455"/>
      <c r="M147" s="609">
        <f>(L141+M148)/0.96*0.04*0.6</f>
        <v>7619051.5870461352</v>
      </c>
    </row>
    <row r="148" spans="2:14" ht="12" thickBot="1" x14ac:dyDescent="0.2">
      <c r="B148" s="442" t="s">
        <v>195</v>
      </c>
      <c r="C148" s="194"/>
      <c r="D148" s="194"/>
      <c r="E148" s="194"/>
      <c r="F148" s="194"/>
      <c r="G148" s="194"/>
      <c r="H148" s="194"/>
      <c r="I148" s="194"/>
      <c r="J148" s="194"/>
      <c r="K148" s="194"/>
      <c r="L148" s="455"/>
      <c r="M148" s="457">
        <f>M35</f>
        <v>17262000</v>
      </c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141"/>
  <sheetViews>
    <sheetView zoomScale="110" zoomScaleNormal="110" zoomScalePageLayoutView="110" workbookViewId="0">
      <selection activeCell="D42" sqref="D42"/>
    </sheetView>
  </sheetViews>
  <sheetFormatPr baseColWidth="10" defaultColWidth="8.83203125" defaultRowHeight="15" x14ac:dyDescent="0.2"/>
  <cols>
    <col min="1" max="2" width="8.83203125" style="187"/>
    <col min="3" max="3" width="20" style="187" bestFit="1" customWidth="1"/>
    <col min="4" max="4" width="10.6640625" style="187" bestFit="1" customWidth="1"/>
    <col min="5" max="5" width="10.5" style="187" customWidth="1"/>
    <col min="6" max="8" width="9.83203125" style="187" bestFit="1" customWidth="1"/>
    <col min="9" max="9" width="9.83203125" style="187" customWidth="1"/>
    <col min="10" max="11" width="9.83203125" style="187" bestFit="1" customWidth="1"/>
    <col min="12" max="12" width="8.83203125" style="187"/>
    <col min="13" max="13" width="17" style="187" bestFit="1" customWidth="1"/>
    <col min="14" max="14" width="9.83203125" style="187" bestFit="1" customWidth="1"/>
    <col min="15" max="15" width="19.83203125" style="187" bestFit="1" customWidth="1"/>
    <col min="16" max="16" width="12.83203125" style="187" bestFit="1" customWidth="1"/>
    <col min="17" max="18" width="9.83203125" style="187" bestFit="1" customWidth="1"/>
    <col min="19" max="25" width="8.83203125" style="187"/>
    <col min="26" max="26" width="11.83203125" style="187" bestFit="1" customWidth="1"/>
    <col min="27" max="16384" width="8.83203125" style="187"/>
  </cols>
  <sheetData>
    <row r="2" spans="3:26" ht="19" x14ac:dyDescent="0.25">
      <c r="C2" s="626" t="s">
        <v>497</v>
      </c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</row>
    <row r="3" spans="3:26" ht="16" thickBot="1" x14ac:dyDescent="0.25"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</row>
    <row r="4" spans="3:26" ht="16" thickBot="1" x14ac:dyDescent="0.25">
      <c r="C4" s="508" t="s">
        <v>499</v>
      </c>
      <c r="D4" s="509" t="s">
        <v>228</v>
      </c>
      <c r="E4" s="510" t="s">
        <v>229</v>
      </c>
      <c r="F4" s="509" t="s">
        <v>233</v>
      </c>
      <c r="G4" s="510" t="s">
        <v>486</v>
      </c>
      <c r="H4" s="509" t="s">
        <v>231</v>
      </c>
      <c r="I4" s="510" t="s">
        <v>516</v>
      </c>
      <c r="J4" s="510" t="s">
        <v>223</v>
      </c>
      <c r="K4" s="509" t="s">
        <v>222</v>
      </c>
      <c r="L4" s="511" t="s">
        <v>224</v>
      </c>
      <c r="M4" s="509" t="s">
        <v>488</v>
      </c>
      <c r="N4" s="510" t="s">
        <v>195</v>
      </c>
      <c r="O4" s="512" t="s">
        <v>498</v>
      </c>
      <c r="P4" s="479"/>
      <c r="Q4" s="477"/>
      <c r="R4" s="478"/>
      <c r="S4" s="478"/>
      <c r="T4" s="478"/>
      <c r="U4" s="477"/>
      <c r="V4" s="479"/>
      <c r="W4" s="190"/>
      <c r="X4" s="190"/>
      <c r="Y4" s="190"/>
      <c r="Z4" s="190"/>
    </row>
    <row r="5" spans="3:26" x14ac:dyDescent="0.2">
      <c r="C5" s="515" t="s">
        <v>248</v>
      </c>
      <c r="D5" s="195">
        <f>SUM('App B.2 Savings'!E7+'App B.2 Savings'!E15+'App B.2 Savings'!E21+'App B.2 Savings'!E19)</f>
        <v>452402078.05941612</v>
      </c>
      <c r="E5" s="195">
        <f>SUM('App B.2 Savings'!F25+'App B.2 Savings'!F26+'App B.2 Savings'!F27+'App B.2 Savings'!F29+'App B.2 Savings'!F30+'App B.2 Savings'!F31+'App B.2 Savings'!F32+'App B.2 Savings'!E34)</f>
        <v>211622092.03923601</v>
      </c>
      <c r="F5" s="195">
        <f>SUM('App B.2 Savings'!E45+'App B.2 Savings'!E50)</f>
        <v>91592104.493685812</v>
      </c>
      <c r="G5" s="195">
        <f>SUM('App B.2 Savings'!E59)</f>
        <v>35988456.662262999</v>
      </c>
      <c r="H5" s="195">
        <f>SUM('App B.2 Savings'!E83+'App B.2 Savings'!E112)</f>
        <v>30837742.999697186</v>
      </c>
      <c r="I5" s="195">
        <f>SUM('App B.2 Savings'!E33)</f>
        <v>28285301</v>
      </c>
      <c r="J5" s="195">
        <f>SUM('App B.2 Savings'!E69)</f>
        <v>640989575.32174087</v>
      </c>
      <c r="K5" s="195">
        <f>SUM('App B.2 Savings'!E75)</f>
        <v>0</v>
      </c>
      <c r="L5" s="195">
        <f>SUM('App B.2 Savings'!E79)</f>
        <v>628024.96779440495</v>
      </c>
      <c r="M5" s="195">
        <f>SUM('App B.2 Savings'!E64)</f>
        <v>0</v>
      </c>
      <c r="N5" s="475">
        <f>SUM('App B.2 Savings'!E125)</f>
        <v>1673208</v>
      </c>
      <c r="O5" s="513">
        <f>SUM(D5:N5)</f>
        <v>1494018583.5438335</v>
      </c>
      <c r="P5" s="480"/>
      <c r="Q5" s="480"/>
      <c r="R5" s="480"/>
      <c r="S5" s="480"/>
      <c r="T5" s="480"/>
      <c r="U5" s="480"/>
      <c r="V5" s="480"/>
      <c r="W5" s="190"/>
      <c r="X5" s="190"/>
      <c r="Y5" s="190"/>
      <c r="Z5" s="190"/>
    </row>
    <row r="6" spans="3:26" x14ac:dyDescent="0.2">
      <c r="C6" s="516" t="s">
        <v>249</v>
      </c>
      <c r="D6" s="195">
        <f>SUM('App B.2 Savings'!J7+'App B.2 Savings'!JI15+'App B.2 Savings'!J19+'App B.2 Savings'!J21)</f>
        <v>36627.36788108715</v>
      </c>
      <c r="E6" s="195">
        <f>SUM('App B.2 Savings'!J25+'App B.2 Savings'!J26+'App B.2 Savings'!J27+'App B.2 Savings'!J29+'App B.2 Savings'!J30+'App B.2 Savings'!J32+'App B.2 Savings'!J34)</f>
        <v>47008.921649742813</v>
      </c>
      <c r="F6" s="195">
        <f>SUM('App B.2 Savings'!J45+'App B.2 Savings'!J50)</f>
        <v>12240.731522599999</v>
      </c>
      <c r="G6" s="195">
        <f>SUM('App B.2 Savings'!J59)</f>
        <v>7321.2355929000005</v>
      </c>
      <c r="H6" s="195">
        <f>SUM('App B.2 Savings'!J83+'App B.2 Savings'!J112)</f>
        <v>3720.7640000614783</v>
      </c>
      <c r="I6" s="195">
        <f>SUM('App B.2 Savings'!J33)</f>
        <v>4416</v>
      </c>
      <c r="J6" s="195">
        <f>SUM('App B.2 Savings'!J69)</f>
        <v>147349.20742652434</v>
      </c>
      <c r="K6" s="195">
        <f>SUM('App B.2 Savings'!J75)</f>
        <v>0</v>
      </c>
      <c r="L6" s="195">
        <f>SUM('App B.2 Savings'!J79)</f>
        <v>192.52797351199999</v>
      </c>
      <c r="M6" s="195">
        <f>SUM('App B.2 Savings'!J64)</f>
        <v>0</v>
      </c>
      <c r="N6" s="475">
        <f>SUM('App B.2 Savings'!J125)</f>
        <v>1044</v>
      </c>
      <c r="O6" s="514">
        <f>SUM(D6:M6)</f>
        <v>258876.75604642779</v>
      </c>
      <c r="P6" s="480"/>
      <c r="Q6" s="480"/>
      <c r="R6" s="480"/>
      <c r="S6" s="480"/>
      <c r="T6" s="480"/>
      <c r="U6" s="480"/>
      <c r="V6" s="480"/>
      <c r="W6" s="190"/>
      <c r="X6" s="190"/>
      <c r="Y6" s="190"/>
      <c r="Z6" s="190"/>
    </row>
    <row r="7" spans="3:26" ht="16" thickBot="1" x14ac:dyDescent="0.25">
      <c r="C7" s="442" t="s">
        <v>250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476"/>
      <c r="O7" s="197"/>
      <c r="P7" s="480"/>
      <c r="Q7" s="480"/>
      <c r="R7" s="480"/>
      <c r="S7" s="480"/>
      <c r="T7" s="480"/>
      <c r="U7" s="480"/>
      <c r="V7" s="480"/>
      <c r="W7" s="190"/>
      <c r="X7" s="190"/>
      <c r="Y7" s="190"/>
      <c r="Z7" s="190"/>
    </row>
    <row r="8" spans="3:26" x14ac:dyDescent="0.2"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</row>
    <row r="9" spans="3:26" ht="16" thickBot="1" x14ac:dyDescent="0.25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</row>
    <row r="10" spans="3:26" ht="16" thickBot="1" x14ac:dyDescent="0.25">
      <c r="C10" s="508" t="s">
        <v>500</v>
      </c>
      <c r="D10" s="509" t="s">
        <v>228</v>
      </c>
      <c r="E10" s="510" t="s">
        <v>229</v>
      </c>
      <c r="F10" s="509" t="s">
        <v>233</v>
      </c>
      <c r="G10" s="510" t="s">
        <v>486</v>
      </c>
      <c r="H10" s="509" t="s">
        <v>231</v>
      </c>
      <c r="I10" s="510" t="s">
        <v>516</v>
      </c>
      <c r="J10" s="510" t="s">
        <v>223</v>
      </c>
      <c r="K10" s="509" t="s">
        <v>222</v>
      </c>
      <c r="L10" s="511" t="s">
        <v>224</v>
      </c>
      <c r="M10" s="509" t="s">
        <v>488</v>
      </c>
      <c r="N10" s="510" t="s">
        <v>195</v>
      </c>
      <c r="O10" s="512" t="s">
        <v>498</v>
      </c>
      <c r="P10" s="190"/>
      <c r="Q10" s="190"/>
      <c r="R10" s="190"/>
      <c r="S10" s="190"/>
      <c r="T10" s="190"/>
      <c r="U10" s="190"/>
      <c r="V10" s="190"/>
      <c r="W10" s="190"/>
      <c r="X10" s="190"/>
      <c r="Y10" s="444"/>
      <c r="Z10" s="190"/>
    </row>
    <row r="11" spans="3:26" x14ac:dyDescent="0.2">
      <c r="C11" s="515" t="s">
        <v>248</v>
      </c>
      <c r="D11" s="195">
        <f>SUM('App B.2 Savings'!F7+'App B.2 Savings'!F15+'App B.2 Savings'!F21+'App B.2 Savings'!F19)</f>
        <v>283305939.7528674</v>
      </c>
      <c r="E11" s="195">
        <f>SUM('App B.2 Savings'!F25+'App B.2 Savings'!F26+'App B.2 Savings'!F27+'App B.2 Savings'!F29+'App B.2 Savings'!F30+'App B.2 Savings'!F31+'App B.2 Savings'!F32+'App B.2 Savings'!F34)</f>
        <v>227905939.027316</v>
      </c>
      <c r="F11" s="195">
        <f>SUM('App B.2 Savings'!F45+'App B.2 Savings'!F50)</f>
        <v>115228721.19118436</v>
      </c>
      <c r="G11" s="195">
        <f>SUM('App B.2 Savings'!F59)</f>
        <v>8425712.7160999998</v>
      </c>
      <c r="H11" s="195">
        <f>SUM('App B.2 Savings'!F83+'App B.2 Savings'!F112)</f>
        <v>32721359.398047339</v>
      </c>
      <c r="I11" s="195">
        <f>SUM('App B.2 Savings'!F33)</f>
        <v>30884537.32</v>
      </c>
      <c r="J11" s="195">
        <f>SUM('App B.2 Savings'!F69)</f>
        <v>619000000</v>
      </c>
      <c r="K11" s="195">
        <f>SUM('App B.2 Savings'!F75)</f>
        <v>0</v>
      </c>
      <c r="L11" s="195">
        <f>SUM('App B.2 Savings'!F79)</f>
        <v>163762.71697900002</v>
      </c>
      <c r="M11" s="195">
        <f>SUM('App B.2 Savings'!F64)</f>
        <v>0</v>
      </c>
      <c r="N11" s="475">
        <f>SUM('App B.2 Savings'!F125)</f>
        <v>2139476.75</v>
      </c>
      <c r="O11" s="513">
        <f>SUM(D11:N11)</f>
        <v>1319775448.8724942</v>
      </c>
      <c r="P11" s="190"/>
      <c r="Q11" s="190"/>
      <c r="R11" s="190"/>
      <c r="S11" s="190"/>
      <c r="T11" s="190"/>
      <c r="U11" s="190"/>
      <c r="V11" s="190"/>
      <c r="W11" s="190"/>
      <c r="X11" s="190"/>
      <c r="Y11" s="444"/>
      <c r="Z11" s="190"/>
    </row>
    <row r="12" spans="3:26" x14ac:dyDescent="0.2">
      <c r="C12" s="516" t="s">
        <v>249</v>
      </c>
      <c r="D12" s="195">
        <f>SUM('App B.2 Savings'!K7+'App B.2 Savings'!K15+'App B.2 Savings'!K21+'App B.2 Savings'!K19)</f>
        <v>53308.080262952295</v>
      </c>
      <c r="E12" s="195">
        <f>SUM('App B.2 Savings'!K25+'App B.2 Savings'!K26+'App B.2 Savings'!K27+'App B.2 Savings'!K29+'App B.2 Savings'!K30+'App B.2 Savings'!K31+'App B.2 Savings'!K32+'App B.2 Savings'!K34)</f>
        <v>49352.712107575244</v>
      </c>
      <c r="F12" s="195">
        <f>SUM('App B.2 Savings'!K45+'App B.2 Savings'!K50)</f>
        <v>14075.602812120002</v>
      </c>
      <c r="G12" s="195">
        <f>SUM('App B.2 Savings'!K59)</f>
        <v>997.73834750000003</v>
      </c>
      <c r="H12" s="195">
        <f>SUM('App B.2 Savings'!K83+'App B.2 Savings'!K112)</f>
        <v>2920.9375188433114</v>
      </c>
      <c r="I12" s="195">
        <f>SUM('App B.2 Savings'!K33)</f>
        <v>4649.6499999999996</v>
      </c>
      <c r="J12" s="195">
        <f>SUM('App B.2 Savings'!K69)</f>
        <v>144000</v>
      </c>
      <c r="K12" s="195">
        <f>SUM('App B.2 Savings'!K75)</f>
        <v>0</v>
      </c>
      <c r="L12" s="195">
        <f>SUM('App B.2 Savings'!K79)</f>
        <v>34.517254000000001</v>
      </c>
      <c r="M12" s="195">
        <f>SUM('App B.2 Savings'!K64)</f>
        <v>0</v>
      </c>
      <c r="N12" s="475">
        <f>SUM('App B.2 Savings'!K125)</f>
        <v>1258.19</v>
      </c>
      <c r="O12" s="514">
        <f>SUM(D12:M12)</f>
        <v>269339.23830299085</v>
      </c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</row>
    <row r="13" spans="3:26" ht="16" thickBot="1" x14ac:dyDescent="0.25">
      <c r="C13" s="442" t="s">
        <v>250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476"/>
      <c r="O13" s="197"/>
    </row>
    <row r="15" spans="3:26" ht="16" thickBot="1" x14ac:dyDescent="0.25"/>
    <row r="16" spans="3:26" ht="16" thickBot="1" x14ac:dyDescent="0.25">
      <c r="C16" s="508" t="s">
        <v>501</v>
      </c>
      <c r="D16" s="509" t="s">
        <v>228</v>
      </c>
      <c r="E16" s="510" t="s">
        <v>229</v>
      </c>
      <c r="F16" s="509" t="s">
        <v>233</v>
      </c>
      <c r="G16" s="510" t="s">
        <v>486</v>
      </c>
      <c r="H16" s="509" t="s">
        <v>231</v>
      </c>
      <c r="I16" s="510" t="s">
        <v>516</v>
      </c>
      <c r="J16" s="510" t="s">
        <v>223</v>
      </c>
      <c r="K16" s="509" t="s">
        <v>222</v>
      </c>
      <c r="L16" s="511" t="s">
        <v>224</v>
      </c>
      <c r="M16" s="509" t="s">
        <v>488</v>
      </c>
      <c r="N16" s="510" t="s">
        <v>195</v>
      </c>
      <c r="O16" s="512" t="s">
        <v>498</v>
      </c>
    </row>
    <row r="17" spans="3:16" x14ac:dyDescent="0.2">
      <c r="C17" s="515" t="s">
        <v>248</v>
      </c>
      <c r="D17" s="195">
        <f>SUM('App B.2 Savings'!G7+'App B.2 Savings'!G15+'App B.2 Savings'!G19+'App B.2 Savings'!G21)</f>
        <v>349456318.77674907</v>
      </c>
      <c r="E17" s="195">
        <f>SUM('App B.2 Savings'!G25+'App B.2 Savings'!G26+'App B.2 Savings'!G27+'App B.2 Savings'!G29+'App B.2 Savings'!G30+'App B.2 Savings'!G31+'App B.2 Savings'!G32+'App B.2 Savings'!G34)</f>
        <v>218508623.49047458</v>
      </c>
      <c r="F17" s="195">
        <f>SUM('App B.2 Savings'!G45+'App B.2 Savings'!G50)</f>
        <v>101235053.00775278</v>
      </c>
      <c r="G17" s="195">
        <f>SUM('App B.2 Savings'!G59)</f>
        <v>3056925.2127</v>
      </c>
      <c r="H17" s="195">
        <f>SUM('App B.2 Savings'!G83+'App B.2 Savings'!G112)</f>
        <v>36334555.743667111</v>
      </c>
      <c r="I17" s="195">
        <f>SUM('App B.2 Savings'!G33)</f>
        <v>30881957</v>
      </c>
      <c r="J17" s="195">
        <f>SUM('App B.2 Savings'!G69)</f>
        <v>660569233.53682208</v>
      </c>
      <c r="K17" s="195">
        <f>SUM('App B.2 Savings'!G75)</f>
        <v>0</v>
      </c>
      <c r="L17" s="195">
        <f>SUM('App B.2 Savings'!G79)</f>
        <v>0</v>
      </c>
      <c r="M17" s="195">
        <f>SUM('App B.2 Savings'!G64)</f>
        <v>0</v>
      </c>
      <c r="N17" s="475">
        <f>SUM('App B.2 Savings'!G125)</f>
        <v>9557264.2521855701</v>
      </c>
      <c r="O17" s="513">
        <f>SUM(D17:N17)</f>
        <v>1409599931.0203512</v>
      </c>
    </row>
    <row r="18" spans="3:16" x14ac:dyDescent="0.2">
      <c r="C18" s="516" t="s">
        <v>249</v>
      </c>
      <c r="D18" s="195">
        <f>SUM('App B.2 Savings'!L7+'App B.2 Savings'!L15+'App B.2 Savings'!L19+'App B.2 Savings'!L21)</f>
        <v>83626.819228900218</v>
      </c>
      <c r="E18" s="195">
        <f>SUM('App B.2 Savings'!L25+'App B.2 Savings'!L26+'App B.2 Savings'!L27+'App B.2 Savings'!L29+'App B.2 Savings'!L30+'App B.2 Savings'!L31+'App B.2 Savings'!L32+'App B.2 Savings'!L34)</f>
        <v>47114.70766986956</v>
      </c>
      <c r="F18" s="195">
        <f>SUM('App B.2 Savings'!L45+'App B.2 Savings'!L50)</f>
        <v>11122.709746029175</v>
      </c>
      <c r="G18" s="195">
        <f>SUM('App B.2 Savings'!L59)</f>
        <v>614.94092213361</v>
      </c>
      <c r="H18" s="195">
        <f>SUM('App B.2 Savings'!L83+'App B.2 Savings'!L112)</f>
        <v>4099.3993180765201</v>
      </c>
      <c r="I18" s="195">
        <f>SUM('App B.2 Savings'!L33)</f>
        <v>4486</v>
      </c>
      <c r="J18" s="195">
        <f>SUM('App B.2 Savings'!L69)</f>
        <v>128584.95746406852</v>
      </c>
      <c r="K18" s="195">
        <f>SUM('App B.2 Savings'!L75)</f>
        <v>0</v>
      </c>
      <c r="L18" s="195">
        <f>SUM('App B.2 Savings'!L79)</f>
        <v>0</v>
      </c>
      <c r="M18" s="195">
        <f>SUM('App B.2 Savings'!L64)</f>
        <v>0</v>
      </c>
      <c r="N18" s="475">
        <f>SUM('App B.2 Savings'!L125)</f>
        <v>9518.0259800000022</v>
      </c>
      <c r="O18" s="514">
        <f>SUM(D18:M18)</f>
        <v>279649.53434907761</v>
      </c>
    </row>
    <row r="19" spans="3:16" ht="16" thickBot="1" x14ac:dyDescent="0.25">
      <c r="C19" s="442" t="s">
        <v>250</v>
      </c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476"/>
      <c r="O19" s="197"/>
    </row>
    <row r="20" spans="3:16" ht="16" thickBot="1" x14ac:dyDescent="0.25"/>
    <row r="21" spans="3:16" ht="15" customHeight="1" thickBot="1" x14ac:dyDescent="0.25">
      <c r="C21" s="508" t="s">
        <v>519</v>
      </c>
      <c r="D21" s="509" t="s">
        <v>228</v>
      </c>
      <c r="E21" s="510" t="s">
        <v>229</v>
      </c>
      <c r="F21" s="509" t="s">
        <v>233</v>
      </c>
      <c r="G21" s="510" t="s">
        <v>230</v>
      </c>
      <c r="H21" s="509" t="s">
        <v>231</v>
      </c>
      <c r="I21" s="510" t="s">
        <v>516</v>
      </c>
      <c r="J21" s="510" t="s">
        <v>223</v>
      </c>
      <c r="K21" s="509" t="s">
        <v>222</v>
      </c>
      <c r="L21" s="511" t="s">
        <v>224</v>
      </c>
      <c r="M21" s="509" t="s">
        <v>488</v>
      </c>
      <c r="N21" s="510" t="s">
        <v>195</v>
      </c>
      <c r="O21" s="512" t="s">
        <v>498</v>
      </c>
      <c r="P21" s="568" t="s">
        <v>508</v>
      </c>
    </row>
    <row r="22" spans="3:16" x14ac:dyDescent="0.2">
      <c r="C22" s="515" t="s">
        <v>248</v>
      </c>
      <c r="D22" s="195">
        <f>SUMIF('Program Savings Changes 2018 '!$B:$B,'Portfolio Savings '!D$21,'Program Savings Changes 2018 '!$D:$D)</f>
        <v>210128400.14186192</v>
      </c>
      <c r="E22" s="195">
        <f>SUMIF('Program Savings Changes 2018 '!$B:$B,'Portfolio Savings '!E$21,'Program Savings Changes 2018 '!$D:$D)</f>
        <v>287445930.21013385</v>
      </c>
      <c r="F22" s="195">
        <f>SUMIF('Program Savings Changes 2018 '!$B:$B,'Portfolio Savings '!F$21,'Program Savings Changes 2018 '!$D:$D)</f>
        <v>141767309.25160787</v>
      </c>
      <c r="G22" s="195">
        <f>SUMIF('Program Savings Changes 2018 '!$B:$B,'Portfolio Savings '!G$21,'Program Savings Changes 2018 '!$D:$D)</f>
        <v>2019644.1138124999</v>
      </c>
      <c r="H22" s="195">
        <f>SUMIF('Program Savings Changes 2018 '!$B:$B,'Portfolio Savings '!H$21,'Program Savings Changes 2018 '!$D:$D)</f>
        <v>30743182.760492686</v>
      </c>
      <c r="I22" s="195">
        <f>SUM('2018 Subprogram Est.'!P91)</f>
        <v>30881957</v>
      </c>
      <c r="J22" s="195">
        <f>SUM('2018 Subprogram Est.'!P90)</f>
        <v>421000000</v>
      </c>
      <c r="K22" s="195">
        <f>SUM(K17)</f>
        <v>0</v>
      </c>
      <c r="L22" s="195" t="s">
        <v>242</v>
      </c>
      <c r="M22" s="195">
        <f>SUM(M17)</f>
        <v>0</v>
      </c>
      <c r="N22" s="475">
        <f>SUM(N17*98.707135724%)</f>
        <v>9433701.7969061434</v>
      </c>
      <c r="O22" s="566">
        <f>SUM(D22:N22)</f>
        <v>1133420125.2748148</v>
      </c>
      <c r="P22" s="569">
        <v>949000000</v>
      </c>
    </row>
    <row r="23" spans="3:16" x14ac:dyDescent="0.2">
      <c r="C23" s="516" t="s">
        <v>249</v>
      </c>
      <c r="D23" s="195">
        <f>SUMIF('Program Savings Changes 2018 '!$B:$B,'Portfolio Savings '!D$21,'Program Savings Changes 2018 '!$E:$E)</f>
        <v>92455.123289985117</v>
      </c>
      <c r="E23" s="195">
        <f>SUMIF('Program Savings Changes 2018 '!$B:$B,'Portfolio Savings '!E$21,'Program Savings Changes 2018 '!$E:$E)</f>
        <v>47981.427847744701</v>
      </c>
      <c r="F23" s="195">
        <f>SUMIF('Program Savings Changes 2018 '!$B:$B,'Portfolio Savings '!F$21,'Program Savings Changes 2018 '!$E:$E)</f>
        <v>9020.728012342186</v>
      </c>
      <c r="G23" s="195">
        <f>SUMIF('Program Savings Changes 2018 '!$B:$B,'Portfolio Savings '!G$21,'Program Savings Changes 2018 '!$E:$E)</f>
        <v>466.23121902593698</v>
      </c>
      <c r="H23" s="195">
        <f>SUMIF('Program Savings Changes 2018 '!$B:$B,'Portfolio Savings '!H$21,'Program Savings Changes 2018 '!$E:$E)</f>
        <v>4015.7277072970041</v>
      </c>
      <c r="I23" s="195">
        <f>SUM('2018 Subprogram Est.'!Q91)</f>
        <v>4486</v>
      </c>
      <c r="J23" s="195">
        <f>SUM('2018 Subprogram Est.'!Q90)</f>
        <v>106000</v>
      </c>
      <c r="K23" s="195">
        <f>SUM(K18)</f>
        <v>0</v>
      </c>
      <c r="L23" s="195" t="s">
        <v>242</v>
      </c>
      <c r="M23" s="195">
        <f>SUM(M18)</f>
        <v>0</v>
      </c>
      <c r="N23" s="475">
        <f>SUM(N18*98.707135724%)</f>
        <v>9394.9708223241832</v>
      </c>
      <c r="O23" s="567">
        <f>SUM(D23:M23)</f>
        <v>264425.23807639495</v>
      </c>
      <c r="P23" s="569">
        <v>206000</v>
      </c>
    </row>
    <row r="24" spans="3:16" x14ac:dyDescent="0.2">
      <c r="C24" s="564" t="s">
        <v>466</v>
      </c>
      <c r="D24" s="614">
        <f>(SUMIF('Program Savings Changes 2018 '!$B:$B,'Portfolio Savings '!D$21,'Program Savings Changes 2018 '!$I:$I)+SUMIF('Program Savings Changes 2018 '!$B:$B,'Portfolio Savings '!D$21,'Program Savings Changes 2018 '!$H:$H))/SUMIF('Program Savings Changes 2018 '!$B:$B,'Portfolio Savings '!D$21,'Program Savings Changes 2018 '!$J:$J)</f>
        <v>1.221112892806429</v>
      </c>
      <c r="E24" s="614">
        <f>(SUMIF('Program Savings Changes 2018 '!$B:$B,'Portfolio Savings '!E$21,'Program Savings Changes 2018 '!$I:$I)+SUMIF('Program Savings Changes 2018 '!$B:$B,'Portfolio Savings '!E$21,'Program Savings Changes 2018 '!$H:$H))/SUMIF('Program Savings Changes 2018 '!$B:$B,'Portfolio Savings '!E$21,'Program Savings Changes 2018 '!$J:$J)</f>
        <v>0.97293520188467908</v>
      </c>
      <c r="F24" s="614">
        <f>(SUMIF('Program Savings Changes 2018 '!$B:$B,'Portfolio Savings '!F$21,'Program Savings Changes 2018 '!$I:$I)+SUMIF('Program Savings Changes 2018 '!$B:$B,'Portfolio Savings '!F$21,'Program Savings Changes 2018 '!$H:$H))/SUMIF('Program Savings Changes 2018 '!$B:$B,'Portfolio Savings '!F$21,'Program Savings Changes 2018 '!$J:$J)</f>
        <v>1.0943230824371639</v>
      </c>
      <c r="G24" s="614">
        <f>(SUMIF('Program Savings Changes 2018 '!$B:$B,'Portfolio Savings '!G$21,'Program Savings Changes 2018 '!$I:$I)+SUMIF('Program Savings Changes 2018 '!$B:$B,'Portfolio Savings '!G$21,'Program Savings Changes 2018 '!$H:$H))/SUMIF('Program Savings Changes 2018 '!$B:$B,'Portfolio Savings '!G$21,'Program Savings Changes 2018 '!$J:$J)</f>
        <v>0.14537401080781662</v>
      </c>
      <c r="H24" s="614">
        <f>(SUMIF('Program Savings Changes 2018 '!$B:$B,'Portfolio Savings '!H$21,'Program Savings Changes 2018 '!$I:$I)+SUMIF('Program Savings Changes 2018 '!$B:$B,'Portfolio Savings '!H$21,'Program Savings Changes 2018 '!$H:$H))/SUMIF('Program Savings Changes 2018 '!$B:$B,'Portfolio Savings '!H$21,'Program Savings Changes 2018 '!$J:$J)</f>
        <v>0.62001864512851612</v>
      </c>
      <c r="I24" s="563"/>
      <c r="J24" s="584">
        <v>1.49</v>
      </c>
      <c r="K24" s="563"/>
      <c r="L24" s="563"/>
      <c r="M24" s="563"/>
      <c r="N24" s="565"/>
      <c r="O24" s="615" t="s">
        <v>529</v>
      </c>
      <c r="P24" s="569"/>
    </row>
    <row r="25" spans="3:16" x14ac:dyDescent="0.2">
      <c r="C25" s="516" t="s">
        <v>526</v>
      </c>
      <c r="D25" s="614">
        <f>(SUMIF('Program Savings Changes 2018 '!$B:$B,'Portfolio Savings '!D$21,'Program Savings Changes 2018 '!$I:$I)+SUMIF('Program Savings Changes 2018 '!$B:$B,'Portfolio Savings '!D$21,'Program Savings Changes 2018 '!$H:$H))/SUMIF('Program Savings Changes 2018 '!$B:$B,'Portfolio Savings '!D$21,'Program Savings Changes 2018 '!$K:$K)</f>
        <v>1.5716303352291376</v>
      </c>
      <c r="E25" s="614">
        <f>(SUMIF('Program Savings Changes 2018 '!$B:$B,'Portfolio Savings '!E$21,'Program Savings Changes 2018 '!$I:$I)+SUMIF('Program Savings Changes 2018 '!$B:$B,'Portfolio Savings '!E$21,'Program Savings Changes 2018 '!$H:$H))/SUMIF('Program Savings Changes 2018 '!$B:$B,'Portfolio Savings '!E$21,'Program Savings Changes 2018 '!$K:$K)</f>
        <v>1.3005208520665879</v>
      </c>
      <c r="F25" s="614">
        <f>(SUMIF('Program Savings Changes 2018 '!$B:$B,'Portfolio Savings '!F$21,'Program Savings Changes 2018 '!$I:$I)+SUMIF('Program Savings Changes 2018 '!$B:$B,'Portfolio Savings '!F$21,'Program Savings Changes 2018 '!$H:$H))/SUMIF('Program Savings Changes 2018 '!$B:$B,'Portfolio Savings '!F$21,'Program Savings Changes 2018 '!$K:$K)</f>
        <v>2.0298929931194114</v>
      </c>
      <c r="G25" s="614">
        <f>(SUMIF('Program Savings Changes 2018 '!$B:$B,'Portfolio Savings '!G$21,'Program Savings Changes 2018 '!$I:$I)+SUMIF('Program Savings Changes 2018 '!$B:$B,'Portfolio Savings '!G$21,'Program Savings Changes 2018 '!$H:$H))/SUMIF('Program Savings Changes 2018 '!$B:$B,'Portfolio Savings '!G$21,'Program Savings Changes 2018 '!$K:$K)</f>
        <v>0.16193976168188617</v>
      </c>
      <c r="H25" s="614">
        <f>(SUMIF('Program Savings Changes 2018 '!$B:$B,'Portfolio Savings '!H$21,'Program Savings Changes 2018 '!$I:$I)+SUMIF('Program Savings Changes 2018 '!$B:$B,'Portfolio Savings '!H$21,'Program Savings Changes 2018 '!$H:$H))/SUMIF('Program Savings Changes 2018 '!$B:$B,'Portfolio Savings '!H$21,'Program Savings Changes 2018 '!$K:$K)</f>
        <v>0.7604064397670447</v>
      </c>
      <c r="I25" s="560"/>
      <c r="J25" s="583">
        <v>45.1</v>
      </c>
      <c r="K25" s="560"/>
      <c r="L25" s="560"/>
      <c r="M25" s="560"/>
      <c r="N25" s="560"/>
      <c r="O25" s="616" t="s">
        <v>530</v>
      </c>
      <c r="P25" s="569"/>
    </row>
    <row r="26" spans="3:16" x14ac:dyDescent="0.2">
      <c r="C26" s="516" t="s">
        <v>524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615" t="s">
        <v>531</v>
      </c>
      <c r="P26" s="570"/>
    </row>
    <row r="27" spans="3:16" ht="16" thickBot="1" x14ac:dyDescent="0.25">
      <c r="C27" s="442" t="s">
        <v>525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617" t="s">
        <v>604</v>
      </c>
      <c r="P27" s="571"/>
    </row>
    <row r="28" spans="3:16" ht="16" thickBot="1" x14ac:dyDescent="0.25"/>
    <row r="29" spans="3:16" x14ac:dyDescent="0.2">
      <c r="C29" s="573" t="s">
        <v>528</v>
      </c>
      <c r="D29" s="574" t="s">
        <v>228</v>
      </c>
      <c r="E29" s="575" t="s">
        <v>229</v>
      </c>
      <c r="F29" s="574" t="s">
        <v>233</v>
      </c>
      <c r="G29" s="575" t="s">
        <v>230</v>
      </c>
      <c r="H29" s="574" t="s">
        <v>231</v>
      </c>
      <c r="I29" s="575" t="s">
        <v>516</v>
      </c>
      <c r="J29" s="575" t="s">
        <v>223</v>
      </c>
      <c r="K29" s="574" t="s">
        <v>222</v>
      </c>
      <c r="L29" s="576" t="s">
        <v>224</v>
      </c>
      <c r="M29" s="574" t="s">
        <v>488</v>
      </c>
      <c r="N29" s="575" t="s">
        <v>195</v>
      </c>
      <c r="O29" s="577" t="s">
        <v>498</v>
      </c>
      <c r="P29" s="568" t="s">
        <v>508</v>
      </c>
    </row>
    <row r="30" spans="3:16" x14ac:dyDescent="0.2">
      <c r="C30" s="579" t="s">
        <v>248</v>
      </c>
      <c r="D30" s="572">
        <f>SUMIF('Program Savings Changes 2019'!$B:$B,'Portfolio Savings '!D$29,'Program Savings Changes 2019'!$D:$D)</f>
        <v>242017259.48426047</v>
      </c>
      <c r="E30" s="572">
        <f>SUMIF('Program Savings Changes 2019'!$B:$B,'Portfolio Savings '!E$29,'Program Savings Changes 2019'!$D:$D)</f>
        <v>296069308.11643785</v>
      </c>
      <c r="F30" s="572">
        <f>SUMIF('Program Savings Changes 2019'!$B:$B,'Portfolio Savings '!F$29,'Program Savings Changes 2019'!$D:$D)</f>
        <v>146020328.52915633</v>
      </c>
      <c r="G30" s="572">
        <f>SUMIF('Program Savings Changes 2019'!$B:$B,'Portfolio Savings '!G$29,'Program Savings Changes 2019'!$D:$D)</f>
        <v>2080233.4372268701</v>
      </c>
      <c r="H30" s="572">
        <f>SUMIF('Program Savings Changes 2019'!$B:$B,'Portfolio Savings '!H$29,'Program Savings Changes 2019'!$D:$D)</f>
        <v>31665478.243307464</v>
      </c>
      <c r="I30" s="572">
        <f>SUM(I22*98.34%)</f>
        <v>30369316.513800003</v>
      </c>
      <c r="J30" s="572">
        <f>SUM(J22*98.34%)</f>
        <v>414011400</v>
      </c>
      <c r="K30" s="572"/>
      <c r="L30" s="572"/>
      <c r="M30" s="572"/>
      <c r="N30" s="572">
        <f>SUM(N22*103%)</f>
        <v>9716712.8508133274</v>
      </c>
      <c r="O30" s="578">
        <f>SUM(D30:N30)</f>
        <v>1171950037.1750026</v>
      </c>
      <c r="P30" s="569">
        <v>955000000</v>
      </c>
    </row>
    <row r="31" spans="3:16" x14ac:dyDescent="0.2">
      <c r="C31" s="516" t="s">
        <v>249</v>
      </c>
      <c r="D31" s="572">
        <f>SUMIF('Program Savings Changes 2019'!$B:$B,'Portfolio Savings '!D$29,'Program Savings Changes 2019'!$E:$E)</f>
        <v>106231.93491375157</v>
      </c>
      <c r="E31" s="572">
        <f>SUMIF('Program Savings Changes 2019'!$B:$B,'Portfolio Savings '!E$29,'Program Savings Changes 2019'!$E:$E)</f>
        <v>49420.870683177047</v>
      </c>
      <c r="F31" s="572">
        <f>SUMIF('Program Savings Changes 2019'!$B:$B,'Portfolio Savings '!F$29,'Program Savings Changes 2019'!$E:$E)</f>
        <v>9291.3498527124466</v>
      </c>
      <c r="G31" s="572">
        <f>SUMIF('Program Savings Changes 2019'!$B:$B,'Portfolio Savings '!G$29,'Program Savings Changes 2019'!$E:$E)</f>
        <v>480.21815559671501</v>
      </c>
      <c r="H31" s="572">
        <f>SUMIF('Program Savings Changes 2019'!$B:$B,'Portfolio Savings '!H$29,'Program Savings Changes 2019'!$E:$E)</f>
        <v>4136.1995385159144</v>
      </c>
      <c r="I31" s="572">
        <f>SUM(I23*100.94%)</f>
        <v>4528.1684000000005</v>
      </c>
      <c r="J31" s="572">
        <f>SUM(J23*100.94%)</f>
        <v>106996.40000000001</v>
      </c>
      <c r="K31" s="572"/>
      <c r="L31" s="572"/>
      <c r="M31" s="572"/>
      <c r="N31" s="572">
        <f t="shared" ref="N31" si="0">SUM(N23*103%)</f>
        <v>9676.8199469939082</v>
      </c>
      <c r="O31" s="578">
        <f>SUM(D31:M31)</f>
        <v>281085.14154375368</v>
      </c>
      <c r="P31" s="569">
        <v>210000</v>
      </c>
    </row>
    <row r="32" spans="3:16" x14ac:dyDescent="0.2">
      <c r="C32" s="516" t="s">
        <v>517</v>
      </c>
      <c r="D32" s="614">
        <f>(SUMIF('Program Savings Changes 2019'!$B:$B,'Portfolio Savings '!D$21,'Program Savings Changes 2019'!$I:$I)+SUMIF('Program Savings Changes 2019'!$B:$B,'Portfolio Savings '!D$21,'Program Savings Changes 2019'!$H:$H))/SUMIF('Program Savings Changes 2019'!$B:$B,'Portfolio Savings '!D$21,'Program Savings Changes 2019'!$J:$J)</f>
        <v>1.2627143223646549</v>
      </c>
      <c r="E32" s="614">
        <f>(SUMIF('Program Savings Changes 2019'!$B:$B,'Portfolio Savings '!E$21,'Program Savings Changes 2019'!$I:$I)+SUMIF('Program Savings Changes 2019'!$B:$B,'Portfolio Savings '!E$21,'Program Savings Changes 2019'!$H:$H))/SUMIF('Program Savings Changes 2019'!$B:$B,'Portfolio Savings '!E$21,'Program Savings Changes 2019'!$J:$J)</f>
        <v>1.4564473443807553</v>
      </c>
      <c r="F32" s="614">
        <f>(SUMIF('Program Savings Changes 2019'!$B:$B,'Portfolio Savings '!F$21,'Program Savings Changes 2019'!$I:$I)+SUMIF('Program Savings Changes 2019'!$B:$B,'Portfolio Savings '!F$21,'Program Savings Changes 2019'!$H:$H))/SUMIF('Program Savings Changes 2019'!$B:$B,'Portfolio Savings '!F$21,'Program Savings Changes 2019'!$J:$J)</f>
        <v>1.1452950993859288</v>
      </c>
      <c r="G32" s="614">
        <f>(SUMIF('Program Savings Changes 2019'!$B:$B,'Portfolio Savings '!G$21,'Program Savings Changes 2019'!$I:$I)+SUMIF('Program Savings Changes 2019'!$B:$B,'Portfolio Savings '!G$21,'Program Savings Changes 2019'!$H:$H))/SUMIF('Program Savings Changes 2019'!$B:$B,'Portfolio Savings '!G$21,'Program Savings Changes 2019'!$J:$J)</f>
        <v>0.15240772620009371</v>
      </c>
      <c r="H32" s="614">
        <f>(SUMIF('Program Savings Changes 2019'!$B:$B,'Portfolio Savings '!H$21,'Program Savings Changes 2019'!$I:$I)+SUMIF('Program Savings Changes 2019'!$B:$B,'Portfolio Savings '!H$21,'Program Savings Changes 2019'!$H:$H))/SUMIF('Program Savings Changes 2019'!$B:$B,'Portfolio Savings '!H$21,'Program Savings Changes 2019'!$J:$J)</f>
        <v>0.64728909464233275</v>
      </c>
      <c r="I32" s="560"/>
      <c r="J32" s="583">
        <v>1.560895272678964</v>
      </c>
      <c r="K32" s="561"/>
      <c r="L32" s="561"/>
      <c r="M32" s="561"/>
      <c r="N32" s="561"/>
      <c r="O32" s="618" t="s">
        <v>532</v>
      </c>
      <c r="P32" s="569"/>
    </row>
    <row r="33" spans="3:16" x14ac:dyDescent="0.2">
      <c r="C33" s="516" t="s">
        <v>212</v>
      </c>
      <c r="D33" s="614">
        <f>(SUMIF('Program Savings Changes 2019'!$B:$B,'Portfolio Savings '!D$21,'Program Savings Changes 2019'!$I:$I)+SUMIF('Program Savings Changes 2019'!$B:$B,'Portfolio Savings '!D$21,'Program Savings Changes 2019'!$H:$H))/SUMIF('Program Savings Changes 2019'!$B:$B,'Portfolio Savings '!D$21,'Program Savings Changes 2019'!$K:$K)</f>
        <v>1.6280951802773751</v>
      </c>
      <c r="E33" s="614">
        <f>(SUMIF('Program Savings Changes 2019'!$B:$B,'Portfolio Savings '!E$21,'Program Savings Changes 2019'!$I:$I)+SUMIF('Program Savings Changes 2019'!$B:$B,'Portfolio Savings '!E$21,'Program Savings Changes 2019'!$H:$H))/SUMIF('Program Savings Changes 2019'!$B:$B,'Portfolio Savings '!E$21,'Program Savings Changes 2019'!$K:$K)</f>
        <v>1.9468307217531333</v>
      </c>
      <c r="F33" s="614">
        <f>(SUMIF('Program Savings Changes 2019'!$B:$B,'Portfolio Savings '!F$21,'Program Savings Changes 2019'!$I:$I)+SUMIF('Program Savings Changes 2019'!$B:$B,'Portfolio Savings '!F$21,'Program Savings Changes 2019'!$H:$H))/SUMIF('Program Savings Changes 2019'!$B:$B,'Portfolio Savings '!F$21,'Program Savings Changes 2019'!$K:$K)</f>
        <v>2.124442529458376</v>
      </c>
      <c r="G33" s="614">
        <f>(SUMIF('Program Savings Changes 2019'!$B:$B,'Portfolio Savings '!G$21,'Program Savings Changes 2019'!$I:$I)+SUMIF('Program Savings Changes 2019'!$B:$B,'Portfolio Savings '!G$21,'Program Savings Changes 2019'!$H:$H))/SUMIF('Program Savings Changes 2019'!$B:$B,'Portfolio Savings '!G$21,'Program Savings Changes 2019'!$K:$K)</f>
        <v>0.16977498744221439</v>
      </c>
      <c r="H33" s="614">
        <f>(SUMIF('Program Savings Changes 2019'!$B:$B,'Portfolio Savings '!H$21,'Program Savings Changes 2019'!$I:$I)+SUMIF('Program Savings Changes 2019'!$B:$B,'Portfolio Savings '!H$21,'Program Savings Changes 2019'!$H:$H))/SUMIF('Program Savings Changes 2019'!$B:$B,'Portfolio Savings '!H$21,'Program Savings Changes 2019'!$K:$K)</f>
        <v>0.79385160401908139</v>
      </c>
      <c r="I33" s="560"/>
      <c r="J33" s="583">
        <v>45.737269952821997</v>
      </c>
      <c r="K33" s="561"/>
      <c r="L33" s="561"/>
      <c r="M33" s="561"/>
      <c r="N33" s="561"/>
      <c r="O33" s="618" t="s">
        <v>602</v>
      </c>
      <c r="P33" s="569"/>
    </row>
    <row r="34" spans="3:16" x14ac:dyDescent="0.2">
      <c r="C34" s="516" t="s">
        <v>524</v>
      </c>
      <c r="D34" s="572"/>
      <c r="E34" s="572"/>
      <c r="F34" s="572"/>
      <c r="G34" s="572"/>
      <c r="H34" s="572"/>
      <c r="I34" s="572"/>
      <c r="J34" s="572"/>
      <c r="K34" s="572"/>
      <c r="L34" s="572"/>
      <c r="M34" s="572"/>
      <c r="N34" s="572"/>
      <c r="O34" s="618" t="s">
        <v>533</v>
      </c>
      <c r="P34" s="570"/>
    </row>
    <row r="35" spans="3:16" ht="16" thickBot="1" x14ac:dyDescent="0.25">
      <c r="C35" s="442" t="s">
        <v>525</v>
      </c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617" t="s">
        <v>603</v>
      </c>
      <c r="P35" s="571"/>
    </row>
    <row r="36" spans="3:16" ht="16" thickBot="1" x14ac:dyDescent="0.25"/>
    <row r="37" spans="3:16" x14ac:dyDescent="0.2">
      <c r="C37" s="573" t="s">
        <v>527</v>
      </c>
      <c r="D37" s="574" t="s">
        <v>228</v>
      </c>
      <c r="E37" s="575" t="s">
        <v>229</v>
      </c>
      <c r="F37" s="574" t="s">
        <v>233</v>
      </c>
      <c r="G37" s="575" t="s">
        <v>230</v>
      </c>
      <c r="H37" s="574" t="s">
        <v>231</v>
      </c>
      <c r="I37" s="575" t="s">
        <v>516</v>
      </c>
      <c r="J37" s="575" t="s">
        <v>223</v>
      </c>
      <c r="K37" s="574" t="s">
        <v>222</v>
      </c>
      <c r="L37" s="576" t="s">
        <v>224</v>
      </c>
      <c r="M37" s="574" t="s">
        <v>488</v>
      </c>
      <c r="N37" s="575" t="s">
        <v>195</v>
      </c>
      <c r="O37" s="577" t="s">
        <v>498</v>
      </c>
      <c r="P37" s="580" t="s">
        <v>508</v>
      </c>
    </row>
    <row r="38" spans="3:16" x14ac:dyDescent="0.2">
      <c r="C38" s="579" t="s">
        <v>248</v>
      </c>
      <c r="D38" s="581">
        <f>SUMIF('Program Savings Changes 2020'!$B:$B,'Portfolio Savings '!D$37,'Program Savings Changes 2020'!$D:$D)</f>
        <v>272818826.13591635</v>
      </c>
      <c r="E38" s="581">
        <f>SUMIF('Program Savings Changes 2020'!$B:$B,'Portfolio Savings '!E$37,'Program Savings Changes 2020'!$D:$D)</f>
        <v>301990694.27876639</v>
      </c>
      <c r="F38" s="581">
        <f>SUMIF('Program Savings Changes 2020'!$B:$B,'Portfolio Savings '!F$37,'Program Savings Changes 2020'!$D:$D)</f>
        <v>148940735.09973934</v>
      </c>
      <c r="G38" s="581">
        <f>SUMIF('Program Savings Changes 2020'!$B:$B,'Portfolio Savings '!G$37,'Program Savings Changes 2020'!$D:$D)</f>
        <v>2121838.1059714099</v>
      </c>
      <c r="H38" s="581">
        <f>SUMIF('Program Savings Changes 2020'!$B:$B,'Portfolio Savings '!H$37,'Program Savings Changes 2020'!$D:$D)</f>
        <v>32298787.808173612</v>
      </c>
      <c r="I38" s="581">
        <f>SUM(I30*94.93%)</f>
        <v>28829592.166550342</v>
      </c>
      <c r="J38" s="581">
        <f>SUM(J30*94.93%)</f>
        <v>393021022.02000004</v>
      </c>
      <c r="K38" s="581"/>
      <c r="L38" s="581"/>
      <c r="M38" s="581"/>
      <c r="N38" s="581">
        <f>SUM(N30*102%)</f>
        <v>9911047.107829595</v>
      </c>
      <c r="O38" s="582">
        <f>SUM(D38:N38)</f>
        <v>1189932542.7229471</v>
      </c>
      <c r="P38" s="569">
        <v>946000000</v>
      </c>
    </row>
    <row r="39" spans="3:16" x14ac:dyDescent="0.2">
      <c r="C39" s="516" t="s">
        <v>249</v>
      </c>
      <c r="D39" s="581">
        <f>SUMIF('Program Savings Changes 2020'!$B:$B,'Portfolio Savings '!D$37,'Program Savings Changes 2020'!$E:$E)</f>
        <v>119521.52720763642</v>
      </c>
      <c r="E39" s="581">
        <f>SUMIF('Program Savings Changes 2020'!$B:$B,'Portfolio Savings '!E$37,'Program Savings Changes 2020'!$E:$E)</f>
        <v>50409.288096840632</v>
      </c>
      <c r="F39" s="581">
        <f>SUMIF('Program Savings Changes 2020'!$B:$B,'Portfolio Savings '!F$37,'Program Savings Changes 2020'!$E:$E)</f>
        <v>9477.1768497666963</v>
      </c>
      <c r="G39" s="581">
        <f>SUMIF('Program Savings Changes 2020'!$B:$B,'Portfolio Savings '!G$37,'Program Savings Changes 2020'!$E:$E)</f>
        <v>489.822518708649</v>
      </c>
      <c r="H39" s="581">
        <f>SUMIF('Program Savings Changes 2020'!$B:$B,'Portfolio Savings '!H$37,'Program Savings Changes 2020'!$E:$E)</f>
        <v>4218.9235292862322</v>
      </c>
      <c r="I39" s="581">
        <f>SUM(I31*97.2%)</f>
        <v>4401.3796848000002</v>
      </c>
      <c r="J39" s="581">
        <f>SUM(J31*97.2%)</f>
        <v>104000.50080000001</v>
      </c>
      <c r="K39" s="581"/>
      <c r="L39" s="581"/>
      <c r="M39" s="581"/>
      <c r="N39" s="581">
        <f>SUM(N31*102%)</f>
        <v>9870.3563459337856</v>
      </c>
      <c r="O39" s="582">
        <f>SUM(D39:M39)</f>
        <v>292518.61868703866</v>
      </c>
      <c r="P39" s="569">
        <v>211000</v>
      </c>
    </row>
    <row r="40" spans="3:16" x14ac:dyDescent="0.2">
      <c r="C40" s="516" t="s">
        <v>517</v>
      </c>
      <c r="D40" s="614">
        <f>(SUMIF('Program Savings Changes 2020'!$B:$B,'Portfolio Savings '!D$21,'Program Savings Changes 2020'!$I:$I)+SUMIF('Program Savings Changes 2020'!$B:$B,'Portfolio Savings '!D$21,'Program Savings Changes 2020'!$H:$H))/SUMIF('Program Savings Changes 2020'!$B:$B,'Portfolio Savings '!D$21,'Program Savings Changes 2020'!$J:$J)</f>
        <v>1.3101369382041874</v>
      </c>
      <c r="E40" s="614">
        <f>(SUMIF('Program Savings Changes 2020'!$B:$B,'Portfolio Savings '!E$21,'Program Savings Changes 2020'!$I:$I)+SUMIF('Program Savings Changes 2020'!$B:$B,'Portfolio Savings '!E$21,'Program Savings Changes 2020'!$H:$H))/SUMIF('Program Savings Changes 2020'!$B:$B,'Portfolio Savings '!E$21,'Program Savings Changes 2020'!$J:$J)</f>
        <v>1.5129098070191143</v>
      </c>
      <c r="F40" s="614">
        <f>(SUMIF('Program Savings Changes 2020'!$B:$B,'Portfolio Savings '!F$21,'Program Savings Changes 2020'!$I:$I)+SUMIF('Program Savings Changes 2020'!$B:$B,'Portfolio Savings '!F$21,'Program Savings Changes 2020'!$H:$H))/SUMIF('Program Savings Changes 2020'!$B:$B,'Portfolio Savings '!F$21,'Program Savings Changes 2020'!$J:$J)</f>
        <v>1.1997598478290488</v>
      </c>
      <c r="G40" s="614">
        <f>(SUMIF('Program Savings Changes 2020'!$B:$B,'Portfolio Savings '!G$21,'Program Savings Changes 2020'!$I:$I)+SUMIF('Program Savings Changes 2020'!$B:$B,'Portfolio Savings '!G$21,'Program Savings Changes 2020'!$H:$H))/SUMIF('Program Savings Changes 2020'!$B:$B,'Portfolio Savings '!G$21,'Program Savings Changes 2020'!$J:$J)</f>
        <v>0.16004138876908197</v>
      </c>
      <c r="H40" s="614">
        <f>(SUMIF('Program Savings Changes 2020'!$B:$B,'Portfolio Savings '!H$21,'Program Savings Changes 2020'!$I:$I)+SUMIF('Program Savings Changes 2020'!$B:$B,'Portfolio Savings '!H$21,'Program Savings Changes 2020'!$H:$H))/SUMIF('Program Savings Changes 2020'!$B:$B,'Portfolio Savings '!H$21,'Program Savings Changes 2020'!$J:$J)</f>
        <v>0.67559099150342838</v>
      </c>
      <c r="I40" s="560"/>
      <c r="J40" s="560">
        <v>1.6279708794975767</v>
      </c>
      <c r="K40" s="561"/>
      <c r="L40" s="561"/>
      <c r="M40" s="561"/>
      <c r="N40" s="561"/>
      <c r="O40" s="618" t="s">
        <v>599</v>
      </c>
      <c r="P40" s="569"/>
    </row>
    <row r="41" spans="3:16" x14ac:dyDescent="0.2">
      <c r="C41" s="516" t="s">
        <v>212</v>
      </c>
      <c r="D41" s="614">
        <f>(SUMIF('Program Savings Changes 2020'!$B:$B,'Portfolio Savings '!D$21,'Program Savings Changes 2020'!$I:$I)+SUMIF('Program Savings Changes 2020'!$B:$B,'Portfolio Savings '!D$21,'Program Savings Changes 2020'!$H:$H))/SUMIF('Program Savings Changes 2020'!$B:$B,'Portfolio Savings '!D$21,'Program Savings Changes 2020'!$K:$K)</f>
        <v>1.6919467329399749</v>
      </c>
      <c r="E41" s="614">
        <f>(SUMIF('Program Savings Changes 2020'!$B:$B,'Portfolio Savings '!E$21,'Program Savings Changes 2020'!$I:$I)+SUMIF('Program Savings Changes 2020'!$B:$B,'Portfolio Savings '!E$21,'Program Savings Changes 2020'!$H:$H))/SUMIF('Program Savings Changes 2020'!$B:$B,'Portfolio Savings '!E$21,'Program Savings Changes 2020'!$K:$K)</f>
        <v>2.0223040008347981</v>
      </c>
      <c r="F41" s="614">
        <f>(SUMIF('Program Savings Changes 2020'!$B:$B,'Portfolio Savings '!F$21,'Program Savings Changes 2020'!$I:$I)+SUMIF('Program Savings Changes 2020'!$B:$B,'Portfolio Savings '!F$21,'Program Savings Changes 2020'!$H:$H))/SUMIF('Program Savings Changes 2020'!$B:$B,'Portfolio Savings '!F$21,'Program Savings Changes 2020'!$K:$K)</f>
        <v>2.2254708391148599</v>
      </c>
      <c r="G41" s="614">
        <f>(SUMIF('Program Savings Changes 2020'!$B:$B,'Portfolio Savings '!G$21,'Program Savings Changes 2020'!$I:$I)+SUMIF('Program Savings Changes 2020'!$B:$B,'Portfolio Savings '!G$21,'Program Savings Changes 2020'!$H:$H))/SUMIF('Program Savings Changes 2020'!$B:$B,'Portfolio Savings '!G$21,'Program Savings Changes 2020'!$K:$K)</f>
        <v>0.17827852593793711</v>
      </c>
      <c r="H41" s="614">
        <f>(SUMIF('Program Savings Changes 2020'!$B:$B,'Portfolio Savings '!H$21,'Program Savings Changes 2020'!$I:$I)+SUMIF('Program Savings Changes 2020'!$B:$B,'Portfolio Savings '!H$21,'Program Savings Changes 2020'!$H:$H))/SUMIF('Program Savings Changes 2020'!$B:$B,'Portfolio Savings '!H$21,'Program Savings Changes 2020'!$K:$K)</f>
        <v>0.82856176120530434</v>
      </c>
      <c r="I41" s="560"/>
      <c r="J41" s="560">
        <v>46.799289431990438</v>
      </c>
      <c r="K41" s="561"/>
      <c r="L41" s="561"/>
      <c r="M41" s="561"/>
      <c r="N41" s="561"/>
      <c r="O41" s="618" t="s">
        <v>600</v>
      </c>
      <c r="P41" s="569"/>
    </row>
    <row r="42" spans="3:16" x14ac:dyDescent="0.2">
      <c r="C42" s="516" t="s">
        <v>524</v>
      </c>
      <c r="D42" s="572"/>
      <c r="E42" s="572"/>
      <c r="F42" s="572"/>
      <c r="G42" s="572"/>
      <c r="H42" s="572"/>
      <c r="I42" s="572"/>
      <c r="J42" s="572"/>
      <c r="K42" s="572"/>
      <c r="L42" s="572"/>
      <c r="M42" s="572"/>
      <c r="N42" s="572"/>
      <c r="O42" s="618" t="s">
        <v>534</v>
      </c>
      <c r="P42" s="570"/>
    </row>
    <row r="43" spans="3:16" ht="16" thickBot="1" x14ac:dyDescent="0.25">
      <c r="C43" s="442" t="s">
        <v>525</v>
      </c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617" t="s">
        <v>601</v>
      </c>
      <c r="P43" s="571"/>
    </row>
    <row r="45" spans="3:16" ht="16" thickBot="1" x14ac:dyDescent="0.25"/>
    <row r="46" spans="3:16" ht="16" thickBot="1" x14ac:dyDescent="0.25">
      <c r="C46" s="508" t="s">
        <v>503</v>
      </c>
      <c r="D46" s="509" t="s">
        <v>228</v>
      </c>
      <c r="E46" s="510" t="s">
        <v>229</v>
      </c>
      <c r="F46" s="509" t="s">
        <v>233</v>
      </c>
      <c r="G46" s="510" t="s">
        <v>486</v>
      </c>
      <c r="H46" s="509" t="s">
        <v>231</v>
      </c>
      <c r="I46" s="510" t="s">
        <v>516</v>
      </c>
      <c r="J46" s="510" t="s">
        <v>223</v>
      </c>
      <c r="K46" s="509" t="s">
        <v>222</v>
      </c>
      <c r="L46" s="511" t="s">
        <v>224</v>
      </c>
      <c r="M46" s="509" t="s">
        <v>488</v>
      </c>
      <c r="N46" s="510" t="s">
        <v>195</v>
      </c>
      <c r="O46" s="512" t="s">
        <v>498</v>
      </c>
      <c r="P46" s="531" t="s">
        <v>508</v>
      </c>
    </row>
    <row r="47" spans="3:16" x14ac:dyDescent="0.2">
      <c r="C47" s="515" t="s">
        <v>248</v>
      </c>
      <c r="D47" s="517">
        <f t="shared" ref="D47:H48" si="1">SUM(D38*98%)</f>
        <v>267362449.61319801</v>
      </c>
      <c r="E47" s="517">
        <f t="shared" si="1"/>
        <v>295950880.39319104</v>
      </c>
      <c r="F47" s="517">
        <f t="shared" si="1"/>
        <v>145961920.39774457</v>
      </c>
      <c r="G47" s="517">
        <f t="shared" si="1"/>
        <v>2079401.3438519817</v>
      </c>
      <c r="H47" s="517">
        <f t="shared" si="1"/>
        <v>31652812.052010138</v>
      </c>
      <c r="I47" s="517">
        <f>SUM(I38*85.75%)</f>
        <v>24721375.28281692</v>
      </c>
      <c r="J47" s="517">
        <f>SUM(J38*85.75%)</f>
        <v>337015526.38215005</v>
      </c>
      <c r="K47" s="517"/>
      <c r="L47" s="517"/>
      <c r="M47" s="517"/>
      <c r="N47" s="517">
        <f>SUM(N38*98%)</f>
        <v>9712826.1656730026</v>
      </c>
      <c r="O47" s="527">
        <f>SUM(D47:N47)</f>
        <v>1114457191.6306355</v>
      </c>
      <c r="P47" s="529">
        <v>879000000</v>
      </c>
    </row>
    <row r="48" spans="3:16" x14ac:dyDescent="0.2">
      <c r="C48" s="516" t="s">
        <v>249</v>
      </c>
      <c r="D48" s="517">
        <f t="shared" si="1"/>
        <v>117131.0966634837</v>
      </c>
      <c r="E48" s="517">
        <f t="shared" si="1"/>
        <v>49401.102334903815</v>
      </c>
      <c r="F48" s="517">
        <f t="shared" si="1"/>
        <v>9287.6333127713624</v>
      </c>
      <c r="G48" s="517">
        <f t="shared" si="1"/>
        <v>480.02606833447601</v>
      </c>
      <c r="H48" s="517">
        <f t="shared" si="1"/>
        <v>4134.5450587005071</v>
      </c>
      <c r="I48" s="517">
        <f>SUM(I39*93.27%)</f>
        <v>4105.1668320129602</v>
      </c>
      <c r="J48" s="517">
        <f>SUM(J39*93.27%)</f>
        <v>97001.267096160009</v>
      </c>
      <c r="K48" s="517"/>
      <c r="L48" s="517"/>
      <c r="M48" s="517"/>
      <c r="N48" s="517">
        <f>SUM(N39*98%)</f>
        <v>9672.9492190151104</v>
      </c>
      <c r="O48" s="528">
        <f>SUM(D48:M48)</f>
        <v>281540.83736636682</v>
      </c>
      <c r="P48" s="529">
        <v>201000</v>
      </c>
    </row>
    <row r="49" spans="3:16" ht="16" thickBot="1" x14ac:dyDescent="0.25">
      <c r="C49" s="442" t="s">
        <v>250</v>
      </c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5"/>
      <c r="O49" s="526"/>
      <c r="P49" s="530"/>
    </row>
    <row r="51" spans="3:16" ht="16" thickBot="1" x14ac:dyDescent="0.25"/>
    <row r="52" spans="3:16" ht="16" thickBot="1" x14ac:dyDescent="0.25">
      <c r="C52" s="508" t="s">
        <v>504</v>
      </c>
      <c r="D52" s="509" t="s">
        <v>228</v>
      </c>
      <c r="E52" s="510" t="s">
        <v>229</v>
      </c>
      <c r="F52" s="509" t="s">
        <v>233</v>
      </c>
      <c r="G52" s="510" t="s">
        <v>486</v>
      </c>
      <c r="H52" s="509" t="s">
        <v>231</v>
      </c>
      <c r="I52" s="510" t="s">
        <v>516</v>
      </c>
      <c r="J52" s="510" t="s">
        <v>223</v>
      </c>
      <c r="K52" s="509" t="s">
        <v>222</v>
      </c>
      <c r="L52" s="511" t="s">
        <v>224</v>
      </c>
      <c r="M52" s="509" t="s">
        <v>488</v>
      </c>
      <c r="N52" s="510" t="s">
        <v>195</v>
      </c>
      <c r="O52" s="512" t="s">
        <v>498</v>
      </c>
      <c r="P52" s="531" t="s">
        <v>508</v>
      </c>
    </row>
    <row r="53" spans="3:16" x14ac:dyDescent="0.2">
      <c r="C53" s="515" t="s">
        <v>248</v>
      </c>
      <c r="D53" s="518">
        <f>SUM(D47*103%)</f>
        <v>275383323.10159397</v>
      </c>
      <c r="E53" s="518">
        <f t="shared" ref="E53:N54" si="2">SUM(E47*103%)</f>
        <v>304829406.80498677</v>
      </c>
      <c r="F53" s="518">
        <f t="shared" si="2"/>
        <v>150340778.0096769</v>
      </c>
      <c r="G53" s="518">
        <f t="shared" si="2"/>
        <v>2141783.3841675413</v>
      </c>
      <c r="H53" s="518">
        <f t="shared" si="2"/>
        <v>32602396.413570441</v>
      </c>
      <c r="I53" s="518">
        <f>SUM(I47*90.21%)</f>
        <v>22301152.642629143</v>
      </c>
      <c r="J53" s="518">
        <f>SUM(J47*90.21%)</f>
        <v>304021706.34933752</v>
      </c>
      <c r="K53" s="518"/>
      <c r="L53" s="518"/>
      <c r="M53" s="518"/>
      <c r="N53" s="518">
        <f t="shared" si="2"/>
        <v>10004210.950643193</v>
      </c>
      <c r="O53" s="519">
        <f>SUM(D53:N53)</f>
        <v>1101624757.6566055</v>
      </c>
      <c r="P53" s="529">
        <v>863000000</v>
      </c>
    </row>
    <row r="54" spans="3:16" x14ac:dyDescent="0.2">
      <c r="C54" s="516" t="s">
        <v>249</v>
      </c>
      <c r="D54" s="518">
        <f>SUM(D48*103%)</f>
        <v>120645.02956338821</v>
      </c>
      <c r="E54" s="518">
        <f t="shared" si="2"/>
        <v>50883.135404950932</v>
      </c>
      <c r="F54" s="518">
        <f t="shared" si="2"/>
        <v>9566.2623121545039</v>
      </c>
      <c r="G54" s="518">
        <f t="shared" si="2"/>
        <v>494.42685038451032</v>
      </c>
      <c r="H54" s="518">
        <f t="shared" si="2"/>
        <v>4258.581410461522</v>
      </c>
      <c r="I54" s="518">
        <f>SUM(I48*94.85%)</f>
        <v>3893.7507401642924</v>
      </c>
      <c r="J54" s="518">
        <f>SUM(J48*94.85%)</f>
        <v>92005.701840707756</v>
      </c>
      <c r="K54" s="518"/>
      <c r="L54" s="518"/>
      <c r="M54" s="518"/>
      <c r="N54" s="518">
        <f t="shared" si="2"/>
        <v>9963.1376955855649</v>
      </c>
      <c r="O54" s="520">
        <f>SUM(D54:M54)</f>
        <v>281746.88812221173</v>
      </c>
      <c r="P54" s="529">
        <v>201000</v>
      </c>
    </row>
    <row r="55" spans="3:16" ht="16" thickBot="1" x14ac:dyDescent="0.25">
      <c r="C55" s="442" t="s">
        <v>250</v>
      </c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N55" s="522"/>
      <c r="O55" s="523"/>
      <c r="P55" s="530"/>
    </row>
    <row r="56" spans="3:16" x14ac:dyDescent="0.2">
      <c r="E56" s="187" t="s">
        <v>502</v>
      </c>
    </row>
    <row r="57" spans="3:16" ht="16" thickBot="1" x14ac:dyDescent="0.25"/>
    <row r="58" spans="3:16" ht="16" thickBot="1" x14ac:dyDescent="0.25">
      <c r="C58" s="508" t="s">
        <v>505</v>
      </c>
      <c r="D58" s="509" t="s">
        <v>228</v>
      </c>
      <c r="E58" s="510" t="s">
        <v>229</v>
      </c>
      <c r="F58" s="509" t="s">
        <v>233</v>
      </c>
      <c r="G58" s="510" t="s">
        <v>486</v>
      </c>
      <c r="H58" s="509" t="s">
        <v>231</v>
      </c>
      <c r="I58" s="510" t="s">
        <v>516</v>
      </c>
      <c r="J58" s="510" t="s">
        <v>223</v>
      </c>
      <c r="K58" s="509" t="s">
        <v>222</v>
      </c>
      <c r="L58" s="511" t="s">
        <v>224</v>
      </c>
      <c r="M58" s="509" t="s">
        <v>488</v>
      </c>
      <c r="N58" s="510" t="s">
        <v>195</v>
      </c>
      <c r="O58" s="512" t="s">
        <v>498</v>
      </c>
      <c r="P58" s="531" t="s">
        <v>508</v>
      </c>
    </row>
    <row r="59" spans="3:16" x14ac:dyDescent="0.2">
      <c r="C59" s="515" t="s">
        <v>248</v>
      </c>
      <c r="D59" s="518">
        <f>SUM(D53*103%)</f>
        <v>283644822.79464179</v>
      </c>
      <c r="E59" s="518">
        <f t="shared" ref="E59:N60" si="3">SUM(E53*103%)</f>
        <v>313974289.00913638</v>
      </c>
      <c r="F59" s="518">
        <f t="shared" si="3"/>
        <v>154851001.34996721</v>
      </c>
      <c r="G59" s="518">
        <f t="shared" si="3"/>
        <v>2206036.8856925676</v>
      </c>
      <c r="H59" s="518">
        <f t="shared" si="3"/>
        <v>33580468.305977553</v>
      </c>
      <c r="I59" s="518">
        <f>SUM(I53*86.18%)</f>
        <v>19219133.347417798</v>
      </c>
      <c r="J59" s="518">
        <f>SUM(J53*86.18%)</f>
        <v>262005906.5318591</v>
      </c>
      <c r="K59" s="518"/>
      <c r="L59" s="518"/>
      <c r="M59" s="518"/>
      <c r="N59" s="518">
        <f t="shared" si="3"/>
        <v>10304337.279162489</v>
      </c>
      <c r="O59" s="519">
        <f>SUM(D59:N59)</f>
        <v>1079785995.503855</v>
      </c>
      <c r="P59" s="529">
        <v>835000000</v>
      </c>
    </row>
    <row r="60" spans="3:16" x14ac:dyDescent="0.2">
      <c r="C60" s="516" t="s">
        <v>249</v>
      </c>
      <c r="D60" s="518">
        <f>SUM(D54*103%)</f>
        <v>124264.38045028986</v>
      </c>
      <c r="E60" s="518">
        <f t="shared" si="3"/>
        <v>52409.629467099461</v>
      </c>
      <c r="F60" s="518">
        <f t="shared" si="3"/>
        <v>9853.250181519139</v>
      </c>
      <c r="G60" s="518">
        <f t="shared" si="3"/>
        <v>509.25965589604562</v>
      </c>
      <c r="H60" s="518">
        <f t="shared" si="3"/>
        <v>4386.3388527753677</v>
      </c>
      <c r="I60" s="518">
        <f>SUM(I54*94.57%)</f>
        <v>3682.3200749733714</v>
      </c>
      <c r="J60" s="518">
        <f>SUM(J54*94.57%)</f>
        <v>87009.792230757317</v>
      </c>
      <c r="K60" s="518"/>
      <c r="L60" s="518"/>
      <c r="M60" s="518"/>
      <c r="N60" s="518">
        <f t="shared" si="3"/>
        <v>10262.031826453132</v>
      </c>
      <c r="O60" s="520">
        <f>SUM(D60:M60)</f>
        <v>282114.97091331054</v>
      </c>
      <c r="P60" s="529">
        <v>200000</v>
      </c>
    </row>
    <row r="61" spans="3:16" ht="16" thickBot="1" x14ac:dyDescent="0.25">
      <c r="C61" s="442" t="s">
        <v>250</v>
      </c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2"/>
      <c r="O61" s="523"/>
      <c r="P61" s="530"/>
    </row>
    <row r="63" spans="3:16" ht="16" thickBot="1" x14ac:dyDescent="0.25"/>
    <row r="64" spans="3:16" ht="16" thickBot="1" x14ac:dyDescent="0.25">
      <c r="C64" s="508" t="s">
        <v>506</v>
      </c>
      <c r="D64" s="509" t="s">
        <v>228</v>
      </c>
      <c r="E64" s="510" t="s">
        <v>229</v>
      </c>
      <c r="F64" s="509" t="s">
        <v>233</v>
      </c>
      <c r="G64" s="510" t="s">
        <v>486</v>
      </c>
      <c r="H64" s="509" t="s">
        <v>231</v>
      </c>
      <c r="I64" s="510" t="s">
        <v>516</v>
      </c>
      <c r="J64" s="510" t="s">
        <v>223</v>
      </c>
      <c r="K64" s="509" t="s">
        <v>222</v>
      </c>
      <c r="L64" s="511" t="s">
        <v>224</v>
      </c>
      <c r="M64" s="509" t="s">
        <v>488</v>
      </c>
      <c r="N64" s="510" t="s">
        <v>195</v>
      </c>
      <c r="O64" s="512" t="s">
        <v>498</v>
      </c>
      <c r="P64" s="531" t="s">
        <v>508</v>
      </c>
    </row>
    <row r="65" spans="3:16" x14ac:dyDescent="0.2">
      <c r="C65" s="515" t="s">
        <v>248</v>
      </c>
      <c r="D65" s="518">
        <f>SUM(D59*103%)</f>
        <v>292154167.47848105</v>
      </c>
      <c r="E65" s="518">
        <f t="shared" ref="E65:N66" si="4">SUM(E59*103%)</f>
        <v>323393517.67941046</v>
      </c>
      <c r="F65" s="518">
        <f t="shared" si="4"/>
        <v>159496531.39046624</v>
      </c>
      <c r="G65" s="518">
        <f t="shared" si="4"/>
        <v>2272217.9922633446</v>
      </c>
      <c r="H65" s="518">
        <f t="shared" si="4"/>
        <v>34587882.355156884</v>
      </c>
      <c r="I65" s="518">
        <f>SUM(I59*94.27%)</f>
        <v>18117877.006610759</v>
      </c>
      <c r="J65" s="518">
        <f>SUM(J59*94.27%)</f>
        <v>246992968.08758357</v>
      </c>
      <c r="K65" s="518"/>
      <c r="L65" s="518"/>
      <c r="M65" s="518"/>
      <c r="N65" s="518">
        <f t="shared" si="4"/>
        <v>10613467.397537364</v>
      </c>
      <c r="O65" s="519">
        <f>SUM(D65:N65)</f>
        <v>1087628629.3875098</v>
      </c>
      <c r="P65" s="529">
        <v>840000000</v>
      </c>
    </row>
    <row r="66" spans="3:16" x14ac:dyDescent="0.2">
      <c r="C66" s="516" t="s">
        <v>249</v>
      </c>
      <c r="D66" s="518">
        <f>SUM(D60*103%)</f>
        <v>127992.31186379856</v>
      </c>
      <c r="E66" s="518">
        <f t="shared" si="4"/>
        <v>53981.918351112443</v>
      </c>
      <c r="F66" s="518">
        <f t="shared" si="4"/>
        <v>10148.847686964713</v>
      </c>
      <c r="G66" s="518">
        <f t="shared" si="4"/>
        <v>524.53744557292703</v>
      </c>
      <c r="H66" s="518">
        <f t="shared" si="4"/>
        <v>4517.929018358629</v>
      </c>
      <c r="I66" s="518">
        <f>SUM(I60*96.55%)</f>
        <v>3555.28003238679</v>
      </c>
      <c r="J66" s="518">
        <f>SUM(J60*96.55%)</f>
        <v>84007.954398796195</v>
      </c>
      <c r="K66" s="518"/>
      <c r="L66" s="518"/>
      <c r="M66" s="518"/>
      <c r="N66" s="518">
        <f t="shared" si="4"/>
        <v>10569.892781246726</v>
      </c>
      <c r="O66" s="520">
        <f>SUM(D66:M66)</f>
        <v>284728.77879699029</v>
      </c>
      <c r="P66" s="529">
        <v>203000</v>
      </c>
    </row>
    <row r="67" spans="3:16" ht="16" thickBot="1" x14ac:dyDescent="0.25">
      <c r="C67" s="442" t="s">
        <v>250</v>
      </c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2"/>
      <c r="O67" s="523"/>
      <c r="P67" s="530"/>
    </row>
    <row r="69" spans="3:16" ht="16" thickBot="1" x14ac:dyDescent="0.25"/>
    <row r="70" spans="3:16" ht="16" thickBot="1" x14ac:dyDescent="0.25">
      <c r="C70" s="508" t="s">
        <v>507</v>
      </c>
      <c r="D70" s="509" t="s">
        <v>228</v>
      </c>
      <c r="E70" s="510" t="s">
        <v>229</v>
      </c>
      <c r="F70" s="509" t="s">
        <v>233</v>
      </c>
      <c r="G70" s="510" t="s">
        <v>486</v>
      </c>
      <c r="H70" s="509" t="s">
        <v>231</v>
      </c>
      <c r="I70" s="510" t="s">
        <v>516</v>
      </c>
      <c r="J70" s="510" t="s">
        <v>223</v>
      </c>
      <c r="K70" s="509" t="s">
        <v>222</v>
      </c>
      <c r="L70" s="511" t="s">
        <v>224</v>
      </c>
      <c r="M70" s="509" t="s">
        <v>488</v>
      </c>
      <c r="N70" s="510" t="s">
        <v>195</v>
      </c>
      <c r="O70" s="512" t="s">
        <v>498</v>
      </c>
      <c r="P70" s="531" t="s">
        <v>508</v>
      </c>
    </row>
    <row r="71" spans="3:16" x14ac:dyDescent="0.2">
      <c r="C71" s="515" t="s">
        <v>248</v>
      </c>
      <c r="D71" s="518">
        <f>SUM(D65*103%)</f>
        <v>300918792.50283551</v>
      </c>
      <c r="E71" s="518">
        <f t="shared" ref="E71:N72" si="5">SUM(E65*103%)</f>
        <v>333095323.20979279</v>
      </c>
      <c r="F71" s="518">
        <f t="shared" si="5"/>
        <v>164281427.33218023</v>
      </c>
      <c r="G71" s="518">
        <f t="shared" si="5"/>
        <v>2340384.5320312451</v>
      </c>
      <c r="H71" s="518">
        <f t="shared" si="5"/>
        <v>35625518.825811595</v>
      </c>
      <c r="I71" s="518">
        <f t="shared" si="5"/>
        <v>18661413.316809081</v>
      </c>
      <c r="J71" s="518">
        <f t="shared" si="5"/>
        <v>254402757.13021109</v>
      </c>
      <c r="K71" s="518"/>
      <c r="L71" s="518"/>
      <c r="M71" s="518"/>
      <c r="N71" s="518">
        <f t="shared" si="5"/>
        <v>10931871.419463485</v>
      </c>
      <c r="O71" s="519">
        <f>SUM(D71:N71)</f>
        <v>1120257488.269135</v>
      </c>
      <c r="P71" s="529"/>
    </row>
    <row r="72" spans="3:16" x14ac:dyDescent="0.2">
      <c r="C72" s="516" t="s">
        <v>249</v>
      </c>
      <c r="D72" s="518">
        <f>SUM(D66*103%)</f>
        <v>131832.08121971253</v>
      </c>
      <c r="E72" s="518">
        <f t="shared" si="5"/>
        <v>55601.375901645821</v>
      </c>
      <c r="F72" s="518">
        <f t="shared" si="5"/>
        <v>10453.313117573654</v>
      </c>
      <c r="G72" s="518">
        <f t="shared" si="5"/>
        <v>540.27356894011484</v>
      </c>
      <c r="H72" s="518">
        <f t="shared" si="5"/>
        <v>4653.4668889093882</v>
      </c>
      <c r="I72" s="518">
        <f t="shared" si="5"/>
        <v>3661.9384333583939</v>
      </c>
      <c r="J72" s="518">
        <f t="shared" si="5"/>
        <v>86528.193030760085</v>
      </c>
      <c r="K72" s="518"/>
      <c r="L72" s="518"/>
      <c r="M72" s="518"/>
      <c r="N72" s="518">
        <f t="shared" si="5"/>
        <v>10886.989564684129</v>
      </c>
      <c r="O72" s="520">
        <f>SUM(D72:M72)</f>
        <v>293270.6421609</v>
      </c>
      <c r="P72" s="529"/>
    </row>
    <row r="73" spans="3:16" ht="16" thickBot="1" x14ac:dyDescent="0.25">
      <c r="C73" s="442" t="s">
        <v>250</v>
      </c>
      <c r="D73" s="521"/>
      <c r="E73" s="521"/>
      <c r="F73" s="521"/>
      <c r="G73" s="521"/>
      <c r="H73" s="521"/>
      <c r="I73" s="521"/>
      <c r="J73" s="521"/>
      <c r="K73" s="521"/>
      <c r="L73" s="521"/>
      <c r="M73" s="521"/>
      <c r="N73" s="522"/>
      <c r="O73" s="523"/>
      <c r="P73" s="530"/>
    </row>
    <row r="76" spans="3:16" ht="14.5" hidden="1" customHeight="1" x14ac:dyDescent="0.2">
      <c r="C76" s="177"/>
      <c r="D76" s="175"/>
      <c r="E76" s="532" t="s">
        <v>240</v>
      </c>
      <c r="F76" s="532"/>
      <c r="G76" s="532"/>
      <c r="H76" s="532"/>
      <c r="I76" s="532"/>
      <c r="J76" s="532"/>
      <c r="K76" s="532"/>
    </row>
    <row r="77" spans="3:16" ht="16" hidden="1" thickBot="1" x14ac:dyDescent="0.25">
      <c r="C77" s="176"/>
      <c r="D77" s="188"/>
      <c r="E77" s="533">
        <f>E80/D80</f>
        <v>1.0265151515151516</v>
      </c>
      <c r="F77" s="533">
        <f t="shared" ref="F77:K77" si="6">F80/E80</f>
        <v>1.0202952029520296</v>
      </c>
      <c r="G77" s="533">
        <f t="shared" si="6"/>
        <v>0.98010849909584086</v>
      </c>
      <c r="H77" s="533">
        <f t="shared" si="6"/>
        <v>1.0313653136531364</v>
      </c>
      <c r="I77" s="533"/>
      <c r="J77" s="533">
        <f>J80/H80</f>
        <v>1.0250447227191413</v>
      </c>
      <c r="K77" s="533">
        <f t="shared" si="6"/>
        <v>1.0349040139616057</v>
      </c>
    </row>
    <row r="78" spans="3:16" ht="14.5" hidden="1" customHeight="1" x14ac:dyDescent="0.2">
      <c r="C78" s="627" t="s">
        <v>234</v>
      </c>
      <c r="D78" s="629" t="s">
        <v>235</v>
      </c>
      <c r="E78" s="629"/>
      <c r="F78" s="629"/>
      <c r="G78" s="629"/>
      <c r="H78" s="629"/>
      <c r="I78" s="629"/>
      <c r="J78" s="629"/>
      <c r="K78" s="630"/>
    </row>
    <row r="79" spans="3:16" ht="16" hidden="1" thickBot="1" x14ac:dyDescent="0.25">
      <c r="C79" s="628"/>
      <c r="D79" s="178">
        <v>2018</v>
      </c>
      <c r="E79" s="178">
        <v>2019</v>
      </c>
      <c r="F79" s="178">
        <v>2020</v>
      </c>
      <c r="G79" s="178">
        <v>2021</v>
      </c>
      <c r="H79" s="178">
        <v>2022</v>
      </c>
      <c r="I79" s="178"/>
      <c r="J79" s="178">
        <v>2023</v>
      </c>
      <c r="K79" s="179">
        <v>2024</v>
      </c>
    </row>
    <row r="80" spans="3:16" hidden="1" x14ac:dyDescent="0.2">
      <c r="C80" s="180" t="s">
        <v>236</v>
      </c>
      <c r="D80" s="181">
        <v>528</v>
      </c>
      <c r="E80" s="181">
        <v>542</v>
      </c>
      <c r="F80" s="181">
        <v>553</v>
      </c>
      <c r="G80" s="181">
        <v>542</v>
      </c>
      <c r="H80" s="181">
        <v>559</v>
      </c>
      <c r="I80" s="181"/>
      <c r="J80" s="181">
        <v>573</v>
      </c>
      <c r="K80" s="182">
        <v>593</v>
      </c>
    </row>
    <row r="81" spans="3:19" ht="16" hidden="1" thickBot="1" x14ac:dyDescent="0.25">
      <c r="C81" s="184" t="s">
        <v>237</v>
      </c>
      <c r="D81" s="185">
        <v>99</v>
      </c>
      <c r="E81" s="185">
        <v>103</v>
      </c>
      <c r="F81" s="185">
        <v>107</v>
      </c>
      <c r="G81" s="185">
        <v>103</v>
      </c>
      <c r="H81" s="185">
        <v>109</v>
      </c>
      <c r="I81" s="185"/>
      <c r="J81" s="185">
        <v>113</v>
      </c>
      <c r="K81" s="186">
        <v>119</v>
      </c>
    </row>
    <row r="82" spans="3:19" hidden="1" x14ac:dyDescent="0.2">
      <c r="C82" s="177"/>
      <c r="D82" s="181"/>
      <c r="E82" s="181"/>
      <c r="F82" s="181"/>
      <c r="G82" s="181"/>
      <c r="H82" s="181"/>
      <c r="I82" s="181"/>
      <c r="J82" s="181"/>
      <c r="K82" s="181"/>
    </row>
    <row r="83" spans="3:19" hidden="1" x14ac:dyDescent="0.2">
      <c r="C83" s="177"/>
      <c r="D83" s="181"/>
      <c r="E83" s="532" t="s">
        <v>240</v>
      </c>
      <c r="F83" s="532"/>
      <c r="G83" s="532"/>
      <c r="H83" s="532"/>
      <c r="I83" s="532"/>
      <c r="J83" s="532"/>
      <c r="K83" s="532"/>
    </row>
    <row r="84" spans="3:19" ht="16" hidden="1" thickBot="1" x14ac:dyDescent="0.25">
      <c r="C84" s="176"/>
      <c r="D84" s="536">
        <v>0.63787878787878793</v>
      </c>
      <c r="E84" s="536">
        <v>0.98337292161520184</v>
      </c>
      <c r="F84" s="536">
        <v>0.94927536231884058</v>
      </c>
      <c r="G84" s="536">
        <v>0.85750636132315516</v>
      </c>
      <c r="H84" s="536">
        <v>0.90207715133531152</v>
      </c>
      <c r="I84" s="536"/>
      <c r="J84" s="536">
        <v>0.86184210526315785</v>
      </c>
      <c r="K84" s="536">
        <v>0.9427480916030534</v>
      </c>
    </row>
    <row r="85" spans="3:19" ht="14.5" hidden="1" customHeight="1" x14ac:dyDescent="0.2">
      <c r="C85" s="627" t="s">
        <v>238</v>
      </c>
      <c r="D85" s="629" t="s">
        <v>235</v>
      </c>
      <c r="E85" s="629"/>
      <c r="F85" s="629"/>
      <c r="G85" s="629"/>
      <c r="H85" s="629"/>
      <c r="I85" s="629"/>
      <c r="J85" s="629"/>
      <c r="K85" s="630"/>
      <c r="M85" s="629" t="s">
        <v>235</v>
      </c>
      <c r="N85" s="629"/>
      <c r="O85" s="629"/>
      <c r="P85" s="629"/>
      <c r="Q85" s="629"/>
      <c r="R85" s="629"/>
      <c r="S85" s="630"/>
    </row>
    <row r="86" spans="3:19" ht="16" hidden="1" thickBot="1" x14ac:dyDescent="0.25">
      <c r="C86" s="628"/>
      <c r="D86" s="178">
        <v>2018</v>
      </c>
      <c r="E86" s="178">
        <v>2019</v>
      </c>
      <c r="F86" s="178">
        <v>2020</v>
      </c>
      <c r="G86" s="178">
        <v>2021</v>
      </c>
      <c r="H86" s="178">
        <v>2022</v>
      </c>
      <c r="I86" s="178"/>
      <c r="J86" s="178">
        <v>2023</v>
      </c>
      <c r="K86" s="179">
        <v>2024</v>
      </c>
      <c r="M86" s="178">
        <v>2018</v>
      </c>
      <c r="N86" s="178">
        <v>2019</v>
      </c>
      <c r="O86" s="178">
        <v>2020</v>
      </c>
      <c r="P86" s="178">
        <v>2021</v>
      </c>
      <c r="Q86" s="178">
        <v>2022</v>
      </c>
      <c r="R86" s="178">
        <v>2023</v>
      </c>
      <c r="S86" s="179">
        <v>2024</v>
      </c>
    </row>
    <row r="87" spans="3:19" hidden="1" x14ac:dyDescent="0.2">
      <c r="C87" s="180" t="s">
        <v>236</v>
      </c>
      <c r="D87" s="181">
        <v>421</v>
      </c>
      <c r="E87" s="181">
        <v>414</v>
      </c>
      <c r="F87" s="181">
        <v>393</v>
      </c>
      <c r="G87" s="181">
        <v>337</v>
      </c>
      <c r="H87" s="181">
        <v>304</v>
      </c>
      <c r="I87" s="181"/>
      <c r="J87" s="181">
        <v>262</v>
      </c>
      <c r="K87" s="182">
        <v>247</v>
      </c>
      <c r="L87" s="195">
        <v>660</v>
      </c>
      <c r="M87" s="534">
        <f>D87/L87</f>
        <v>0.63787878787878793</v>
      </c>
      <c r="N87" s="534">
        <f>E87/D87</f>
        <v>0.98337292161520184</v>
      </c>
      <c r="O87" s="534">
        <f t="shared" ref="O87:Q88" si="7">F87/E87</f>
        <v>0.94927536231884058</v>
      </c>
      <c r="P87" s="534">
        <f t="shared" si="7"/>
        <v>0.85750636132315516</v>
      </c>
      <c r="Q87" s="534">
        <f t="shared" si="7"/>
        <v>0.90207715133531152</v>
      </c>
      <c r="R87" s="534">
        <f t="shared" ref="R87:R88" si="8">J87/H87</f>
        <v>0.86184210526315785</v>
      </c>
      <c r="S87" s="534">
        <f t="shared" ref="S87:S88" si="9">K87/J87</f>
        <v>0.9427480916030534</v>
      </c>
    </row>
    <row r="88" spans="3:19" ht="16" hidden="1" thickBot="1" x14ac:dyDescent="0.25">
      <c r="C88" s="184" t="s">
        <v>237</v>
      </c>
      <c r="D88" s="185">
        <v>106</v>
      </c>
      <c r="E88" s="185">
        <v>107</v>
      </c>
      <c r="F88" s="185">
        <v>104</v>
      </c>
      <c r="G88" s="185">
        <v>97</v>
      </c>
      <c r="H88" s="185">
        <v>92</v>
      </c>
      <c r="I88" s="185"/>
      <c r="J88" s="185">
        <v>87</v>
      </c>
      <c r="K88" s="186">
        <v>84</v>
      </c>
      <c r="L88" s="535">
        <v>128</v>
      </c>
      <c r="M88" s="534">
        <f>D88/L88</f>
        <v>0.828125</v>
      </c>
      <c r="N88" s="534">
        <f>E88/D88</f>
        <v>1.0094339622641511</v>
      </c>
      <c r="O88" s="534">
        <f t="shared" si="7"/>
        <v>0.9719626168224299</v>
      </c>
      <c r="P88" s="534">
        <f t="shared" si="7"/>
        <v>0.93269230769230771</v>
      </c>
      <c r="Q88" s="534">
        <f t="shared" si="7"/>
        <v>0.94845360824742264</v>
      </c>
      <c r="R88" s="534">
        <f t="shared" si="8"/>
        <v>0.94565217391304346</v>
      </c>
      <c r="S88" s="534">
        <f t="shared" si="9"/>
        <v>0.96551724137931039</v>
      </c>
    </row>
    <row r="89" spans="3:19" ht="16" hidden="1" thickBot="1" x14ac:dyDescent="0.25">
      <c r="C89" s="176"/>
      <c r="D89" s="183"/>
      <c r="E89" s="183"/>
      <c r="F89" s="183"/>
      <c r="G89" s="183"/>
      <c r="H89" s="183"/>
      <c r="I89" s="183"/>
      <c r="J89" s="183"/>
      <c r="K89" s="183"/>
    </row>
    <row r="90" spans="3:19" ht="14.5" hidden="1" customHeight="1" x14ac:dyDescent="0.2">
      <c r="C90" s="627" t="s">
        <v>239</v>
      </c>
      <c r="D90" s="629" t="s">
        <v>235</v>
      </c>
      <c r="E90" s="629"/>
      <c r="F90" s="629"/>
      <c r="G90" s="629"/>
      <c r="H90" s="629"/>
      <c r="I90" s="629"/>
      <c r="J90" s="629"/>
      <c r="K90" s="630"/>
    </row>
    <row r="91" spans="3:19" ht="16" hidden="1" thickBot="1" x14ac:dyDescent="0.25">
      <c r="C91" s="628"/>
      <c r="D91" s="178">
        <v>2018</v>
      </c>
      <c r="E91" s="178">
        <v>2019</v>
      </c>
      <c r="F91" s="178">
        <v>2020</v>
      </c>
      <c r="G91" s="178">
        <v>2021</v>
      </c>
      <c r="H91" s="178">
        <v>2022</v>
      </c>
      <c r="I91" s="178"/>
      <c r="J91" s="178">
        <v>2023</v>
      </c>
      <c r="K91" s="179">
        <v>2024</v>
      </c>
    </row>
    <row r="92" spans="3:19" hidden="1" x14ac:dyDescent="0.2">
      <c r="C92" s="180" t="s">
        <v>236</v>
      </c>
      <c r="D92" s="181">
        <v>949</v>
      </c>
      <c r="E92" s="181">
        <v>955</v>
      </c>
      <c r="F92" s="181">
        <v>946</v>
      </c>
      <c r="G92" s="181">
        <v>879</v>
      </c>
      <c r="H92" s="181">
        <v>863</v>
      </c>
      <c r="I92" s="181"/>
      <c r="J92" s="181">
        <v>835</v>
      </c>
      <c r="K92" s="182">
        <v>840</v>
      </c>
    </row>
    <row r="93" spans="3:19" ht="16" hidden="1" thickBot="1" x14ac:dyDescent="0.25">
      <c r="C93" s="184" t="s">
        <v>237</v>
      </c>
      <c r="D93" s="185">
        <v>206</v>
      </c>
      <c r="E93" s="185">
        <v>210</v>
      </c>
      <c r="F93" s="185">
        <v>211</v>
      </c>
      <c r="G93" s="185">
        <v>201</v>
      </c>
      <c r="H93" s="185">
        <v>201</v>
      </c>
      <c r="I93" s="185"/>
      <c r="J93" s="185">
        <v>200</v>
      </c>
      <c r="K93" s="186">
        <v>203</v>
      </c>
    </row>
    <row r="141" spans="3:26" x14ac:dyDescent="0.2"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</row>
  </sheetData>
  <mergeCells count="8">
    <mergeCell ref="C90:C91"/>
    <mergeCell ref="D90:K90"/>
    <mergeCell ref="C2:O2"/>
    <mergeCell ref="C78:C79"/>
    <mergeCell ref="D78:K78"/>
    <mergeCell ref="C85:C86"/>
    <mergeCell ref="D85:K85"/>
    <mergeCell ref="M85:S8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5"/>
  <sheetViews>
    <sheetView topLeftCell="T1" zoomScale="90" zoomScaleNormal="90" zoomScalePageLayoutView="90" workbookViewId="0">
      <pane ySplit="1" topLeftCell="A62" activePane="bottomLeft" state="frozen"/>
      <selection pane="bottomLeft" activeCell="V82" sqref="V82:V83"/>
    </sheetView>
  </sheetViews>
  <sheetFormatPr baseColWidth="10" defaultColWidth="8.83203125" defaultRowHeight="15" x14ac:dyDescent="0.2"/>
  <cols>
    <col min="1" max="1" width="17.1640625" style="187" bestFit="1" customWidth="1"/>
    <col min="2" max="2" width="17" style="187" bestFit="1" customWidth="1"/>
    <col min="3" max="3" width="56.83203125" style="187" bestFit="1" customWidth="1"/>
    <col min="4" max="4" width="21.33203125" style="189" bestFit="1" customWidth="1"/>
    <col min="5" max="5" width="20.1640625" style="189" bestFit="1" customWidth="1"/>
    <col min="6" max="7" width="17.1640625" style="187" bestFit="1" customWidth="1"/>
    <col min="8" max="8" width="11.33203125" style="460" bestFit="1" customWidth="1"/>
    <col min="9" max="9" width="27.5" style="187" bestFit="1" customWidth="1"/>
    <col min="10" max="11" width="10" style="187" bestFit="1" customWidth="1"/>
    <col min="12" max="12" width="12.5" style="460" bestFit="1" customWidth="1"/>
    <col min="13" max="13" width="13.83203125" style="460" bestFit="1" customWidth="1"/>
    <col min="14" max="14" width="10" style="460" bestFit="1" customWidth="1"/>
    <col min="15" max="15" width="28.1640625" style="460" bestFit="1" customWidth="1"/>
    <col min="16" max="16" width="18.6640625" style="460" bestFit="1" customWidth="1"/>
    <col min="17" max="17" width="20.1640625" style="460" bestFit="1" customWidth="1"/>
    <col min="18" max="18" width="11.5" style="460" bestFit="1" customWidth="1"/>
    <col min="19" max="19" width="14.83203125" style="594" bestFit="1" customWidth="1"/>
    <col min="20" max="20" width="25.1640625" style="594" bestFit="1" customWidth="1"/>
    <col min="21" max="21" width="23.83203125" style="460" bestFit="1" customWidth="1"/>
    <col min="22" max="22" width="13.6640625" style="460" bestFit="1" customWidth="1"/>
    <col min="23" max="23" width="19.83203125" style="460" bestFit="1" customWidth="1"/>
    <col min="24" max="24" width="33" style="460" bestFit="1" customWidth="1"/>
    <col min="25" max="26" width="13.6640625" style="460" bestFit="1" customWidth="1"/>
    <col min="27" max="27" width="14.6640625" style="460" bestFit="1" customWidth="1"/>
    <col min="28" max="28" width="16.5" style="460" bestFit="1" customWidth="1"/>
    <col min="29" max="29" width="16.83203125" style="460" bestFit="1" customWidth="1"/>
    <col min="30" max="30" width="15.33203125" style="460" bestFit="1" customWidth="1"/>
    <col min="31" max="31" width="17" style="460" bestFit="1" customWidth="1"/>
    <col min="32" max="32" width="25.5" style="460" bestFit="1" customWidth="1"/>
    <col min="33" max="33" width="23.83203125" style="460" bestFit="1" customWidth="1"/>
    <col min="34" max="34" width="25.33203125" style="460" bestFit="1" customWidth="1"/>
    <col min="35" max="35" width="23.6640625" style="460" bestFit="1" customWidth="1"/>
    <col min="36" max="36" width="10" style="460" bestFit="1" customWidth="1"/>
    <col min="37" max="37" width="10.6640625" style="460" bestFit="1" customWidth="1"/>
    <col min="38" max="38" width="18.83203125" style="460" bestFit="1" customWidth="1"/>
    <col min="39" max="39" width="10.83203125" style="460" bestFit="1" customWidth="1"/>
    <col min="40" max="40" width="18.83203125" style="460" bestFit="1" customWidth="1"/>
    <col min="41" max="41" width="10.83203125" style="460" bestFit="1" customWidth="1"/>
    <col min="42" max="42" width="16.5" style="460" bestFit="1" customWidth="1"/>
    <col min="43" max="43" width="24.83203125" style="460" bestFit="1" customWidth="1"/>
    <col min="44" max="44" width="16.6640625" style="460" bestFit="1" customWidth="1"/>
    <col min="45" max="45" width="24.83203125" style="460" bestFit="1" customWidth="1"/>
    <col min="46" max="46" width="16.33203125" style="460" bestFit="1" customWidth="1"/>
    <col min="47" max="47" width="24.5" style="460" bestFit="1" customWidth="1"/>
    <col min="48" max="48" width="16.5" style="460" bestFit="1" customWidth="1"/>
    <col min="49" max="49" width="24.6640625" style="460" bestFit="1" customWidth="1"/>
    <col min="50" max="50" width="16.6640625" style="460" bestFit="1" customWidth="1"/>
    <col min="51" max="51" width="16.5" style="460" bestFit="1" customWidth="1"/>
    <col min="52" max="52" width="8.83203125" style="460"/>
    <col min="53" max="16384" width="8.83203125" style="187"/>
  </cols>
  <sheetData>
    <row r="1" spans="1:52" x14ac:dyDescent="0.2">
      <c r="A1" s="585" t="s">
        <v>103</v>
      </c>
      <c r="B1" s="585" t="s">
        <v>221</v>
      </c>
      <c r="C1" s="585" t="s">
        <v>535</v>
      </c>
      <c r="D1" s="586" t="s">
        <v>605</v>
      </c>
      <c r="E1" s="586" t="s">
        <v>606</v>
      </c>
      <c r="F1" s="585" t="s">
        <v>607</v>
      </c>
      <c r="G1" s="585" t="s">
        <v>608</v>
      </c>
      <c r="H1" s="585" t="s">
        <v>598</v>
      </c>
      <c r="I1" s="585" t="s">
        <v>609</v>
      </c>
      <c r="J1" s="587" t="s">
        <v>203</v>
      </c>
      <c r="K1" s="587" t="s">
        <v>213</v>
      </c>
      <c r="L1" s="585" t="s">
        <v>551</v>
      </c>
      <c r="M1" s="590" t="s">
        <v>552</v>
      </c>
      <c r="N1" s="590" t="s">
        <v>553</v>
      </c>
      <c r="O1" s="585" t="s">
        <v>554</v>
      </c>
      <c r="P1" s="585" t="s">
        <v>555</v>
      </c>
      <c r="Q1" s="585" t="s">
        <v>556</v>
      </c>
      <c r="R1" s="585" t="s">
        <v>557</v>
      </c>
      <c r="S1" s="585" t="s">
        <v>558</v>
      </c>
      <c r="T1" s="585" t="s">
        <v>559</v>
      </c>
      <c r="U1" s="585" t="s">
        <v>560</v>
      </c>
      <c r="V1" s="585" t="s">
        <v>561</v>
      </c>
      <c r="W1" s="585" t="s">
        <v>562</v>
      </c>
      <c r="X1" s="585" t="s">
        <v>563</v>
      </c>
      <c r="Y1" s="585" t="s">
        <v>564</v>
      </c>
      <c r="Z1" s="585" t="s">
        <v>565</v>
      </c>
      <c r="AA1" s="585" t="s">
        <v>566</v>
      </c>
      <c r="AB1" s="585" t="s">
        <v>567</v>
      </c>
      <c r="AC1" s="585" t="s">
        <v>568</v>
      </c>
      <c r="AD1" s="585" t="s">
        <v>569</v>
      </c>
      <c r="AE1" s="585" t="s">
        <v>570</v>
      </c>
      <c r="AF1" s="585" t="s">
        <v>571</v>
      </c>
      <c r="AG1" s="585" t="s">
        <v>572</v>
      </c>
      <c r="AH1" s="585" t="s">
        <v>573</v>
      </c>
      <c r="AI1" s="585" t="s">
        <v>574</v>
      </c>
      <c r="AJ1" s="591" t="s">
        <v>576</v>
      </c>
      <c r="AK1" s="591" t="s">
        <v>577</v>
      </c>
      <c r="AL1" s="591" t="s">
        <v>578</v>
      </c>
      <c r="AM1" s="591" t="s">
        <v>579</v>
      </c>
      <c r="AN1" s="591" t="s">
        <v>580</v>
      </c>
      <c r="AO1" s="591" t="s">
        <v>581</v>
      </c>
      <c r="AP1" s="591" t="s">
        <v>582</v>
      </c>
      <c r="AQ1" s="591" t="s">
        <v>583</v>
      </c>
      <c r="AR1" s="591" t="s">
        <v>584</v>
      </c>
      <c r="AS1" s="591" t="s">
        <v>585</v>
      </c>
      <c r="AT1" s="591" t="s">
        <v>586</v>
      </c>
      <c r="AU1" s="591" t="s">
        <v>587</v>
      </c>
      <c r="AV1" s="591" t="s">
        <v>588</v>
      </c>
      <c r="AW1" s="591" t="s">
        <v>589</v>
      </c>
      <c r="AX1" s="591" t="s">
        <v>590</v>
      </c>
      <c r="AY1" s="591" t="s">
        <v>591</v>
      </c>
      <c r="AZ1" s="591"/>
    </row>
    <row r="2" spans="1:52" x14ac:dyDescent="0.2">
      <c r="A2" s="588" t="s">
        <v>540</v>
      </c>
      <c r="B2" s="588" t="s">
        <v>541</v>
      </c>
      <c r="C2" s="588" t="s">
        <v>541</v>
      </c>
      <c r="D2" s="588">
        <v>0</v>
      </c>
      <c r="E2" s="588">
        <v>0</v>
      </c>
      <c r="F2" s="589">
        <v>0</v>
      </c>
      <c r="G2" s="589">
        <v>0</v>
      </c>
      <c r="H2" s="588">
        <v>0</v>
      </c>
      <c r="I2" s="588">
        <v>0</v>
      </c>
      <c r="J2" s="588">
        <v>17500000</v>
      </c>
      <c r="K2" s="588">
        <v>17500000</v>
      </c>
      <c r="L2" s="460">
        <v>17500000</v>
      </c>
      <c r="M2" s="460">
        <v>0</v>
      </c>
      <c r="N2" s="460">
        <v>17500000</v>
      </c>
      <c r="O2" s="588">
        <v>0</v>
      </c>
      <c r="P2" s="588">
        <v>0</v>
      </c>
      <c r="Q2" s="588">
        <v>0</v>
      </c>
      <c r="R2" s="588">
        <v>17500000</v>
      </c>
      <c r="S2" s="592">
        <v>0</v>
      </c>
      <c r="T2" s="592">
        <v>0</v>
      </c>
      <c r="U2" s="592">
        <v>0</v>
      </c>
      <c r="V2" s="592">
        <v>0</v>
      </c>
      <c r="W2" s="592">
        <v>0</v>
      </c>
      <c r="X2" s="592">
        <v>0</v>
      </c>
      <c r="Y2" s="592">
        <v>0</v>
      </c>
      <c r="Z2" s="592">
        <v>0</v>
      </c>
      <c r="AA2" s="592">
        <v>0</v>
      </c>
      <c r="AB2" s="592">
        <v>0</v>
      </c>
      <c r="AC2" s="592">
        <v>0</v>
      </c>
      <c r="AD2" s="592">
        <v>0</v>
      </c>
      <c r="AE2" s="592">
        <v>0</v>
      </c>
      <c r="AF2" s="592">
        <v>0</v>
      </c>
      <c r="AG2" s="592">
        <v>0</v>
      </c>
      <c r="AH2" s="592">
        <v>0</v>
      </c>
      <c r="AI2" s="592">
        <v>0</v>
      </c>
      <c r="AJ2" s="460">
        <v>0</v>
      </c>
      <c r="AK2" s="460">
        <v>0</v>
      </c>
      <c r="AL2" s="460">
        <v>0</v>
      </c>
      <c r="AM2" s="460">
        <v>0</v>
      </c>
      <c r="AN2" s="460">
        <v>0</v>
      </c>
      <c r="AO2" s="460">
        <v>0</v>
      </c>
      <c r="AP2" s="460">
        <v>0</v>
      </c>
      <c r="AQ2" s="460">
        <v>0</v>
      </c>
      <c r="AR2" s="460">
        <v>0</v>
      </c>
      <c r="AS2" s="460">
        <v>0</v>
      </c>
      <c r="AT2" s="460">
        <v>0</v>
      </c>
      <c r="AU2" s="460">
        <v>0</v>
      </c>
      <c r="AV2" s="460">
        <v>0</v>
      </c>
      <c r="AW2" s="460">
        <v>0</v>
      </c>
      <c r="AX2" s="460">
        <v>0</v>
      </c>
      <c r="AY2" s="460">
        <v>0</v>
      </c>
    </row>
    <row r="3" spans="1:52" x14ac:dyDescent="0.2">
      <c r="A3" s="588" t="s">
        <v>379</v>
      </c>
      <c r="B3" s="588" t="s">
        <v>231</v>
      </c>
      <c r="C3" s="588" t="s">
        <v>43</v>
      </c>
      <c r="D3" s="588">
        <v>2918432.6296629999</v>
      </c>
      <c r="E3" s="588">
        <v>331.46370334798002</v>
      </c>
      <c r="F3" s="589">
        <v>0.65943618922365099</v>
      </c>
      <c r="G3" s="589">
        <v>0.97539418061184902</v>
      </c>
      <c r="H3" s="588">
        <v>-361.49737551857203</v>
      </c>
      <c r="I3" s="588">
        <v>1257632.4066256001</v>
      </c>
      <c r="J3" s="588">
        <v>1906584.6397211801</v>
      </c>
      <c r="K3" s="588">
        <v>1288987.5029410301</v>
      </c>
      <c r="L3" s="460">
        <v>193056.67806371301</v>
      </c>
      <c r="M3" s="460">
        <v>1182205.7872041301</v>
      </c>
      <c r="N3" s="460">
        <v>1375262.4652678501</v>
      </c>
      <c r="O3" s="588">
        <v>78167.274522750304</v>
      </c>
      <c r="P3" s="588">
        <v>13359.792832908801</v>
      </c>
      <c r="Q3" s="588">
        <v>4914.4654777224496</v>
      </c>
      <c r="R3" s="588">
        <v>90673.284572819801</v>
      </c>
      <c r="S3" s="592">
        <v>0</v>
      </c>
      <c r="T3" s="592">
        <v>0</v>
      </c>
      <c r="U3" s="592">
        <v>5941.8606575121403</v>
      </c>
      <c r="V3" s="592">
        <v>0</v>
      </c>
      <c r="W3" s="592">
        <v>0</v>
      </c>
      <c r="X3" s="592">
        <v>0</v>
      </c>
      <c r="Y3" s="592">
        <v>0</v>
      </c>
      <c r="Z3" s="592">
        <v>0</v>
      </c>
      <c r="AA3" s="592">
        <v>1182205.7872041301</v>
      </c>
      <c r="AB3" s="592">
        <v>0</v>
      </c>
      <c r="AC3" s="592">
        <v>2116214.9144491898</v>
      </c>
      <c r="AD3" s="592">
        <v>0</v>
      </c>
      <c r="AE3" s="592">
        <v>560405.49045643199</v>
      </c>
      <c r="AF3" s="592">
        <v>22394996.844114501</v>
      </c>
      <c r="AG3" s="592">
        <v>14556748.2470975</v>
      </c>
      <c r="AH3" s="592">
        <v>-716.41086652930596</v>
      </c>
      <c r="AI3" s="592">
        <v>-394.02597659111802</v>
      </c>
      <c r="AJ3" s="460">
        <v>0.91744554165193704</v>
      </c>
      <c r="AK3" s="460">
        <v>0.13101365764810599</v>
      </c>
      <c r="AL3" s="460">
        <v>0.117747495213157</v>
      </c>
      <c r="AM3" s="460">
        <v>8.8574597688828097E-2</v>
      </c>
      <c r="AN3" s="460">
        <v>7.5308435253879105E-2</v>
      </c>
      <c r="AO3" s="460">
        <v>0.24737726051070999</v>
      </c>
      <c r="AP3" s="460">
        <v>-4.46185105123868E-2</v>
      </c>
      <c r="AQ3" s="460">
        <v>-3.1352348077437801E-2</v>
      </c>
      <c r="AR3" s="460">
        <v>-2.1794505531094002E-3</v>
      </c>
      <c r="AS3" s="460">
        <v>1.10867118818396E-2</v>
      </c>
      <c r="AT3" s="460">
        <v>-0.47381195474329502</v>
      </c>
      <c r="AU3" s="460">
        <v>-0.332936199746873</v>
      </c>
      <c r="AV3" s="460">
        <v>-2.31439757841926E-2</v>
      </c>
      <c r="AW3" s="460">
        <v>0.11773177921222901</v>
      </c>
      <c r="AX3" s="460">
        <v>-0.16098211337499099</v>
      </c>
      <c r="AY3" s="460">
        <v>-1.7094978954029101</v>
      </c>
    </row>
    <row r="4" spans="1:52" x14ac:dyDescent="0.2">
      <c r="A4" s="588" t="s">
        <v>380</v>
      </c>
      <c r="B4" s="588" t="s">
        <v>231</v>
      </c>
      <c r="C4" s="588" t="s">
        <v>44</v>
      </c>
      <c r="D4" s="588">
        <v>1438545.7743456799</v>
      </c>
      <c r="E4" s="588">
        <v>199.72198923456801</v>
      </c>
      <c r="F4" s="589">
        <v>0.813384986161094</v>
      </c>
      <c r="G4" s="589">
        <v>1.2566117784168001</v>
      </c>
      <c r="H4" s="588">
        <v>0</v>
      </c>
      <c r="I4" s="588">
        <v>278486.66722232901</v>
      </c>
      <c r="J4" s="588">
        <v>342379.896310471</v>
      </c>
      <c r="K4" s="588">
        <v>221617.10721285199</v>
      </c>
      <c r="L4" s="460">
        <v>80194.499634174703</v>
      </c>
      <c r="M4" s="460">
        <v>152555.819515093</v>
      </c>
      <c r="N4" s="460">
        <v>232750.31914926801</v>
      </c>
      <c r="O4" s="588">
        <v>12434.4310146718</v>
      </c>
      <c r="P4" s="588">
        <v>7715.6317949040204</v>
      </c>
      <c r="Q4" s="588">
        <v>1450.0717783918601</v>
      </c>
      <c r="R4" s="588">
        <v>54138.177514036703</v>
      </c>
      <c r="S4" s="592">
        <v>0</v>
      </c>
      <c r="T4" s="592">
        <v>0</v>
      </c>
      <c r="U4" s="592">
        <v>4456.1875321703101</v>
      </c>
      <c r="V4" s="592">
        <v>0</v>
      </c>
      <c r="W4" s="592">
        <v>0</v>
      </c>
      <c r="X4" s="592">
        <v>0</v>
      </c>
      <c r="Y4" s="592">
        <v>0</v>
      </c>
      <c r="Z4" s="592">
        <v>0</v>
      </c>
      <c r="AA4" s="592">
        <v>152555.819515093</v>
      </c>
      <c r="AB4" s="592">
        <v>0</v>
      </c>
      <c r="AC4" s="592">
        <v>341235.51592974202</v>
      </c>
      <c r="AD4" s="592">
        <v>0</v>
      </c>
      <c r="AE4" s="592">
        <v>113207.82234726399</v>
      </c>
      <c r="AF4" s="592">
        <v>5751578.2015801901</v>
      </c>
      <c r="AG4" s="592">
        <v>3738525.9681554399</v>
      </c>
      <c r="AH4" s="592">
        <v>0</v>
      </c>
      <c r="AI4" s="592">
        <v>0</v>
      </c>
      <c r="AJ4" s="460">
        <v>0</v>
      </c>
      <c r="AK4" s="460">
        <v>9.1581521494526003E-2</v>
      </c>
      <c r="AL4" s="460">
        <v>7.0130687578360398E-2</v>
      </c>
      <c r="AM4" s="460">
        <v>5.9279274532415702E-2</v>
      </c>
      <c r="AN4" s="460">
        <v>3.7828440616250097E-2</v>
      </c>
      <c r="AO4" s="460">
        <v>0.21093860873581699</v>
      </c>
      <c r="AP4" s="460">
        <v>-1.7090486901089001E-2</v>
      </c>
      <c r="AQ4" s="460">
        <v>4.3603470150766002E-3</v>
      </c>
      <c r="AR4" s="460">
        <v>1.52117600610212E-2</v>
      </c>
      <c r="AS4" s="460">
        <v>3.6662593977186901E-2</v>
      </c>
      <c r="AT4" s="460">
        <v>0</v>
      </c>
      <c r="AU4" s="460">
        <v>0</v>
      </c>
      <c r="AV4" s="460">
        <v>0</v>
      </c>
      <c r="AW4" s="460">
        <v>0</v>
      </c>
      <c r="AX4" s="460">
        <v>-0.13644757414238001</v>
      </c>
      <c r="AY4" s="460">
        <v>0</v>
      </c>
    </row>
    <row r="5" spans="1:52" x14ac:dyDescent="0.2">
      <c r="A5" s="588" t="s">
        <v>381</v>
      </c>
      <c r="B5" s="588" t="s">
        <v>231</v>
      </c>
      <c r="C5" s="588" t="s">
        <v>45</v>
      </c>
      <c r="D5" s="588">
        <v>64200</v>
      </c>
      <c r="E5" s="588">
        <v>0.67785077428437301</v>
      </c>
      <c r="F5" s="589">
        <v>0.19551443225745299</v>
      </c>
      <c r="G5" s="589">
        <v>0.25087702711329901</v>
      </c>
      <c r="H5" s="588">
        <v>0</v>
      </c>
      <c r="I5" s="588">
        <v>31749.4302665213</v>
      </c>
      <c r="J5" s="588">
        <v>162389.18989220099</v>
      </c>
      <c r="K5" s="588">
        <v>126553.75676220399</v>
      </c>
      <c r="L5" s="460">
        <v>115229.741719232</v>
      </c>
      <c r="M5" s="460">
        <v>12215.4754792001</v>
      </c>
      <c r="N5" s="460">
        <v>127445.217198432</v>
      </c>
      <c r="O5" s="588">
        <v>9131.1816855899397</v>
      </c>
      <c r="P5" s="588">
        <v>9019.6946913728498</v>
      </c>
      <c r="Q5" s="588">
        <v>0</v>
      </c>
      <c r="R5" s="588">
        <v>92622.677810098699</v>
      </c>
      <c r="S5" s="592">
        <v>0</v>
      </c>
      <c r="T5" s="592">
        <v>0</v>
      </c>
      <c r="U5" s="592">
        <v>4456.1875321703101</v>
      </c>
      <c r="V5" s="592">
        <v>0</v>
      </c>
      <c r="W5" s="592">
        <v>0</v>
      </c>
      <c r="X5" s="592">
        <v>0</v>
      </c>
      <c r="Y5" s="592">
        <v>0</v>
      </c>
      <c r="Z5" s="592">
        <v>0</v>
      </c>
      <c r="AA5" s="592">
        <v>12215.4754792001</v>
      </c>
      <c r="AB5" s="592">
        <v>0</v>
      </c>
      <c r="AC5" s="592">
        <v>70747.368960462394</v>
      </c>
      <c r="AD5" s="592">
        <v>0</v>
      </c>
      <c r="AE5" s="592">
        <v>35119.137484266503</v>
      </c>
      <c r="AF5" s="592">
        <v>433635.07730456098</v>
      </c>
      <c r="AG5" s="592">
        <v>281862.81058663002</v>
      </c>
      <c r="AH5" s="592">
        <v>0</v>
      </c>
      <c r="AI5" s="592">
        <v>0</v>
      </c>
      <c r="AJ5" s="460">
        <v>0</v>
      </c>
      <c r="AK5" s="460">
        <v>0.57612847028036895</v>
      </c>
      <c r="AL5" s="460">
        <v>0.167313481600563</v>
      </c>
      <c r="AM5" s="460">
        <v>0.44899061532386098</v>
      </c>
      <c r="AN5" s="460">
        <v>4.0175626644053997E-2</v>
      </c>
      <c r="AO5" s="460">
        <v>0.60736265423178504</v>
      </c>
      <c r="AP5" s="460">
        <v>-0.463487039506148</v>
      </c>
      <c r="AQ5" s="460">
        <v>-5.4672050826341398E-2</v>
      </c>
      <c r="AR5" s="460">
        <v>-0.33634918454964002</v>
      </c>
      <c r="AS5" s="460">
        <v>7.2465804130167094E-2</v>
      </c>
      <c r="AT5" s="460">
        <v>0</v>
      </c>
      <c r="AU5" s="460">
        <v>0</v>
      </c>
      <c r="AV5" s="460">
        <v>0</v>
      </c>
      <c r="AW5" s="460">
        <v>0</v>
      </c>
      <c r="AX5" s="460">
        <v>-0.49472122345756397</v>
      </c>
      <c r="AY5" s="460">
        <v>0</v>
      </c>
    </row>
    <row r="6" spans="1:52" x14ac:dyDescent="0.2">
      <c r="A6" s="588" t="s">
        <v>382</v>
      </c>
      <c r="B6" s="588" t="s">
        <v>231</v>
      </c>
      <c r="C6" s="588" t="s">
        <v>47</v>
      </c>
      <c r="D6" s="588">
        <v>2206994.65</v>
      </c>
      <c r="E6" s="588">
        <v>237.389686052173</v>
      </c>
      <c r="F6" s="589">
        <v>0.58019501590965705</v>
      </c>
      <c r="G6" s="589">
        <v>0.82133976698465405</v>
      </c>
      <c r="H6" s="588">
        <v>0</v>
      </c>
      <c r="I6" s="588">
        <v>764426.39120868698</v>
      </c>
      <c r="J6" s="588">
        <v>1317533.5365647399</v>
      </c>
      <c r="K6" s="588">
        <v>930706.65994304605</v>
      </c>
      <c r="L6" s="460">
        <v>252099.53168805799</v>
      </c>
      <c r="M6" s="460">
        <v>732029.11721260601</v>
      </c>
      <c r="N6" s="460">
        <v>984128.64890066301</v>
      </c>
      <c r="O6" s="588">
        <v>70117.086817855801</v>
      </c>
      <c r="P6" s="588">
        <v>14048.514864332001</v>
      </c>
      <c r="Q6" s="588">
        <v>12038.995827009399</v>
      </c>
      <c r="R6" s="588">
        <v>151438.74664669001</v>
      </c>
      <c r="S6" s="592">
        <v>0</v>
      </c>
      <c r="T6" s="592">
        <v>0</v>
      </c>
      <c r="U6" s="592">
        <v>4456.1875321703101</v>
      </c>
      <c r="V6" s="592">
        <v>0</v>
      </c>
      <c r="W6" s="592">
        <v>0</v>
      </c>
      <c r="X6" s="592">
        <v>0</v>
      </c>
      <c r="Y6" s="592">
        <v>0</v>
      </c>
      <c r="Z6" s="592">
        <v>0</v>
      </c>
      <c r="AA6" s="592">
        <v>732029.11721260601</v>
      </c>
      <c r="AB6" s="592">
        <v>0</v>
      </c>
      <c r="AC6" s="592">
        <v>1317686.9487071999</v>
      </c>
      <c r="AD6" s="592">
        <v>0</v>
      </c>
      <c r="AE6" s="592">
        <v>351394.70139462501</v>
      </c>
      <c r="AF6" s="592">
        <v>14092366.538737301</v>
      </c>
      <c r="AG6" s="592">
        <v>9160038.3123193104</v>
      </c>
      <c r="AH6" s="592">
        <v>0</v>
      </c>
      <c r="AI6" s="592">
        <v>0</v>
      </c>
      <c r="AJ6" s="460">
        <v>0</v>
      </c>
      <c r="AK6" s="460">
        <v>0.14383493732693201</v>
      </c>
      <c r="AL6" s="460">
        <v>0.116313269502791</v>
      </c>
      <c r="AM6" s="460">
        <v>0.101605105591244</v>
      </c>
      <c r="AN6" s="460">
        <v>7.4083437767103202E-2</v>
      </c>
      <c r="AO6" s="460">
        <v>0.25930881543253298</v>
      </c>
      <c r="AP6" s="460">
        <v>-6.0382623576167999E-2</v>
      </c>
      <c r="AQ6" s="460">
        <v>-3.2860955752026903E-2</v>
      </c>
      <c r="AR6" s="460">
        <v>-1.8152791840480499E-2</v>
      </c>
      <c r="AS6" s="460">
        <v>9.3688759836605302E-3</v>
      </c>
      <c r="AT6" s="460">
        <v>0</v>
      </c>
      <c r="AU6" s="460">
        <v>0</v>
      </c>
      <c r="AV6" s="460">
        <v>0</v>
      </c>
      <c r="AW6" s="460">
        <v>0</v>
      </c>
      <c r="AX6" s="460">
        <v>-0.17585650168177</v>
      </c>
      <c r="AY6" s="460">
        <v>0</v>
      </c>
    </row>
    <row r="7" spans="1:52" x14ac:dyDescent="0.2">
      <c r="A7" s="588" t="s">
        <v>383</v>
      </c>
      <c r="B7" s="588" t="s">
        <v>231</v>
      </c>
      <c r="C7" s="588" t="s">
        <v>48</v>
      </c>
      <c r="D7" s="588">
        <v>180177.75</v>
      </c>
      <c r="E7" s="588">
        <v>20.809185761288798</v>
      </c>
      <c r="F7" s="589">
        <v>7.4324278910748207E-2</v>
      </c>
      <c r="G7" s="589">
        <v>0.106059302677682</v>
      </c>
      <c r="H7" s="588">
        <v>0</v>
      </c>
      <c r="I7" s="588">
        <v>65310.956670526903</v>
      </c>
      <c r="J7" s="588">
        <v>878729.77212406101</v>
      </c>
      <c r="K7" s="588">
        <v>615796.58758467506</v>
      </c>
      <c r="L7" s="460">
        <v>579811.24875353905</v>
      </c>
      <c r="M7" s="460">
        <v>38818.2126599392</v>
      </c>
      <c r="N7" s="460">
        <v>618629.46141347801</v>
      </c>
      <c r="O7" s="588">
        <v>49281.395188873103</v>
      </c>
      <c r="P7" s="588">
        <v>26819.4901453436</v>
      </c>
      <c r="Q7" s="588">
        <v>23636.330860492199</v>
      </c>
      <c r="R7" s="588">
        <v>455118.71690359199</v>
      </c>
      <c r="S7" s="592">
        <v>0</v>
      </c>
      <c r="T7" s="592">
        <v>0</v>
      </c>
      <c r="U7" s="592">
        <v>24955.315655237901</v>
      </c>
      <c r="V7" s="592">
        <v>0</v>
      </c>
      <c r="W7" s="592">
        <v>0</v>
      </c>
      <c r="X7" s="592">
        <v>0</v>
      </c>
      <c r="Y7" s="592">
        <v>0</v>
      </c>
      <c r="Z7" s="592">
        <v>0</v>
      </c>
      <c r="AA7" s="592">
        <v>38818.2126599392</v>
      </c>
      <c r="AB7" s="592">
        <v>0</v>
      </c>
      <c r="AC7" s="592">
        <v>471207.466051233</v>
      </c>
      <c r="AD7" s="592">
        <v>0</v>
      </c>
      <c r="AE7" s="592">
        <v>260071.700323319</v>
      </c>
      <c r="AF7" s="592">
        <v>844545.41559894802</v>
      </c>
      <c r="AG7" s="592">
        <v>582055.24442008999</v>
      </c>
      <c r="AH7" s="592">
        <v>0</v>
      </c>
      <c r="AI7" s="592">
        <v>0</v>
      </c>
      <c r="AJ7" s="460">
        <v>0</v>
      </c>
      <c r="AK7" s="460">
        <v>1.50970166586086</v>
      </c>
      <c r="AL7" s="460">
        <v>0.51355696256691097</v>
      </c>
      <c r="AM7" s="460">
        <v>1.0579693138891</v>
      </c>
      <c r="AN7" s="460">
        <v>6.1824610595148002E-2</v>
      </c>
      <c r="AO7" s="460">
        <v>1.21284458088845</v>
      </c>
      <c r="AP7" s="460">
        <v>-1.3974941781754</v>
      </c>
      <c r="AQ7" s="460">
        <v>-0.40134947488144701</v>
      </c>
      <c r="AR7" s="460">
        <v>-0.94576182620363602</v>
      </c>
      <c r="AS7" s="460">
        <v>5.0382877090315997E-2</v>
      </c>
      <c r="AT7" s="460">
        <v>0</v>
      </c>
      <c r="AU7" s="460">
        <v>0</v>
      </c>
      <c r="AV7" s="460">
        <v>0</v>
      </c>
      <c r="AW7" s="460">
        <v>0</v>
      </c>
      <c r="AX7" s="460">
        <v>-1.1006370932029801</v>
      </c>
      <c r="AY7" s="460">
        <v>0</v>
      </c>
    </row>
    <row r="8" spans="1:52" x14ac:dyDescent="0.2">
      <c r="A8" s="588" t="s">
        <v>384</v>
      </c>
      <c r="B8" s="588" t="s">
        <v>231</v>
      </c>
      <c r="C8" s="588" t="s">
        <v>49</v>
      </c>
      <c r="D8" s="588">
        <v>0</v>
      </c>
      <c r="E8" s="588">
        <v>0</v>
      </c>
      <c r="F8" s="589">
        <v>0</v>
      </c>
      <c r="G8" s="589">
        <v>0</v>
      </c>
      <c r="H8" s="588">
        <v>0</v>
      </c>
      <c r="I8" s="588">
        <v>0</v>
      </c>
      <c r="J8" s="588">
        <v>74927.963038173097</v>
      </c>
      <c r="K8" s="588">
        <v>74927.963038173097</v>
      </c>
      <c r="L8" s="460">
        <v>74927.963038173097</v>
      </c>
      <c r="M8" s="460">
        <v>0</v>
      </c>
      <c r="N8" s="460">
        <v>74927.963038173097</v>
      </c>
      <c r="O8" s="588">
        <v>4742.7612541369499</v>
      </c>
      <c r="P8" s="588">
        <v>8287.6512484737395</v>
      </c>
      <c r="Q8" s="588">
        <v>9142.5697340814004</v>
      </c>
      <c r="R8" s="588">
        <v>46813.120143968801</v>
      </c>
      <c r="S8" s="592">
        <v>0</v>
      </c>
      <c r="T8" s="592">
        <v>0</v>
      </c>
      <c r="U8" s="592">
        <v>5941.8606575121403</v>
      </c>
      <c r="V8" s="592">
        <v>0</v>
      </c>
      <c r="W8" s="592">
        <v>0</v>
      </c>
      <c r="X8" s="592">
        <v>0</v>
      </c>
      <c r="Y8" s="592">
        <v>0</v>
      </c>
      <c r="Z8" s="592">
        <v>0</v>
      </c>
      <c r="AA8" s="592">
        <v>0</v>
      </c>
      <c r="AB8" s="592">
        <v>0</v>
      </c>
      <c r="AC8" s="592">
        <v>0</v>
      </c>
      <c r="AD8" s="592">
        <v>0</v>
      </c>
      <c r="AE8" s="592">
        <v>0</v>
      </c>
      <c r="AF8" s="592">
        <v>0</v>
      </c>
      <c r="AG8" s="592">
        <v>0</v>
      </c>
      <c r="AH8" s="592">
        <v>0</v>
      </c>
      <c r="AI8" s="592">
        <v>0</v>
      </c>
      <c r="AJ8" s="460">
        <v>0</v>
      </c>
      <c r="AK8" s="460">
        <v>0</v>
      </c>
      <c r="AL8" s="460">
        <v>0</v>
      </c>
      <c r="AM8" s="460">
        <v>0</v>
      </c>
      <c r="AN8" s="460">
        <v>0</v>
      </c>
      <c r="AO8" s="460">
        <v>0</v>
      </c>
      <c r="AP8" s="460">
        <v>0</v>
      </c>
      <c r="AQ8" s="460">
        <v>0</v>
      </c>
      <c r="AR8" s="460">
        <v>0</v>
      </c>
      <c r="AS8" s="460">
        <v>0</v>
      </c>
      <c r="AT8" s="460">
        <v>0</v>
      </c>
      <c r="AU8" s="460">
        <v>0</v>
      </c>
      <c r="AV8" s="460">
        <v>0</v>
      </c>
      <c r="AW8" s="460">
        <v>0</v>
      </c>
      <c r="AX8" s="460">
        <v>0</v>
      </c>
      <c r="AY8" s="460">
        <v>0</v>
      </c>
    </row>
    <row r="9" spans="1:52" x14ac:dyDescent="0.2">
      <c r="A9" s="588" t="s">
        <v>385</v>
      </c>
      <c r="B9" s="588" t="s">
        <v>231</v>
      </c>
      <c r="C9" s="588" t="s">
        <v>88</v>
      </c>
      <c r="D9" s="588">
        <v>0</v>
      </c>
      <c r="E9" s="588">
        <v>0</v>
      </c>
      <c r="F9" s="589">
        <v>0</v>
      </c>
      <c r="G9" s="589">
        <v>0</v>
      </c>
      <c r="H9" s="588">
        <v>0</v>
      </c>
      <c r="I9" s="588">
        <v>0</v>
      </c>
      <c r="J9" s="588">
        <v>418760.53817111801</v>
      </c>
      <c r="K9" s="588">
        <v>418760.53817111801</v>
      </c>
      <c r="L9" s="460">
        <v>418760.53817111801</v>
      </c>
      <c r="M9" s="460">
        <v>0</v>
      </c>
      <c r="N9" s="460">
        <v>418760.53817111801</v>
      </c>
      <c r="O9" s="588">
        <v>26394.4805492218</v>
      </c>
      <c r="P9" s="588">
        <v>40714.169793414098</v>
      </c>
      <c r="Q9" s="588">
        <v>0</v>
      </c>
      <c r="R9" s="588">
        <v>351651.88782848202</v>
      </c>
      <c r="S9" s="592">
        <v>0</v>
      </c>
      <c r="T9" s="592">
        <v>0</v>
      </c>
      <c r="U9" s="592">
        <v>0</v>
      </c>
      <c r="V9" s="592">
        <v>0</v>
      </c>
      <c r="W9" s="592">
        <v>0</v>
      </c>
      <c r="X9" s="592">
        <v>0</v>
      </c>
      <c r="Y9" s="592">
        <v>0</v>
      </c>
      <c r="Z9" s="592">
        <v>0</v>
      </c>
      <c r="AA9" s="592">
        <v>0</v>
      </c>
      <c r="AB9" s="592">
        <v>0</v>
      </c>
      <c r="AC9" s="592">
        <v>0</v>
      </c>
      <c r="AD9" s="592">
        <v>0</v>
      </c>
      <c r="AE9" s="592">
        <v>0</v>
      </c>
      <c r="AF9" s="592">
        <v>0</v>
      </c>
      <c r="AG9" s="592">
        <v>0</v>
      </c>
      <c r="AH9" s="592">
        <v>0</v>
      </c>
      <c r="AI9" s="592">
        <v>0</v>
      </c>
      <c r="AJ9" s="460">
        <v>0</v>
      </c>
      <c r="AK9" s="460">
        <v>0</v>
      </c>
      <c r="AL9" s="460">
        <v>0</v>
      </c>
      <c r="AM9" s="460">
        <v>0</v>
      </c>
      <c r="AN9" s="460">
        <v>0</v>
      </c>
      <c r="AO9" s="460">
        <v>0</v>
      </c>
      <c r="AP9" s="460">
        <v>0</v>
      </c>
      <c r="AQ9" s="460">
        <v>0</v>
      </c>
      <c r="AR9" s="460">
        <v>0</v>
      </c>
      <c r="AS9" s="460">
        <v>0</v>
      </c>
      <c r="AT9" s="460">
        <v>0</v>
      </c>
      <c r="AU9" s="460">
        <v>0</v>
      </c>
      <c r="AV9" s="460">
        <v>0</v>
      </c>
      <c r="AW9" s="460">
        <v>0</v>
      </c>
      <c r="AX9" s="460">
        <v>0</v>
      </c>
      <c r="AY9" s="460">
        <v>0</v>
      </c>
    </row>
    <row r="10" spans="1:52" x14ac:dyDescent="0.2">
      <c r="A10" s="588" t="s">
        <v>387</v>
      </c>
      <c r="B10" s="588" t="s">
        <v>231</v>
      </c>
      <c r="C10" s="588" t="s">
        <v>50</v>
      </c>
      <c r="D10" s="588">
        <v>0</v>
      </c>
      <c r="E10" s="588">
        <v>0</v>
      </c>
      <c r="F10" s="589">
        <v>0</v>
      </c>
      <c r="G10" s="589">
        <v>0</v>
      </c>
      <c r="H10" s="588">
        <v>0</v>
      </c>
      <c r="I10" s="588">
        <v>0</v>
      </c>
      <c r="J10" s="588">
        <v>165171.35533357199</v>
      </c>
      <c r="K10" s="588">
        <v>165171.35533357199</v>
      </c>
      <c r="L10" s="460">
        <v>165171.35533357199</v>
      </c>
      <c r="M10" s="460">
        <v>0</v>
      </c>
      <c r="N10" s="460">
        <v>165171.35533357199</v>
      </c>
      <c r="O10" s="588">
        <v>11259.8361089506</v>
      </c>
      <c r="P10" s="588">
        <v>8590.9011288051406</v>
      </c>
      <c r="Q10" s="588">
        <v>263.35296577972201</v>
      </c>
      <c r="R10" s="588">
        <v>135075.13886794099</v>
      </c>
      <c r="S10" s="592">
        <v>0</v>
      </c>
      <c r="T10" s="592">
        <v>0</v>
      </c>
      <c r="U10" s="592">
        <v>9982.1262620951493</v>
      </c>
      <c r="V10" s="592">
        <v>0</v>
      </c>
      <c r="W10" s="592">
        <v>0</v>
      </c>
      <c r="X10" s="592">
        <v>0</v>
      </c>
      <c r="Y10" s="592">
        <v>0</v>
      </c>
      <c r="Z10" s="592">
        <v>0</v>
      </c>
      <c r="AA10" s="592">
        <v>0</v>
      </c>
      <c r="AB10" s="592">
        <v>0</v>
      </c>
      <c r="AC10" s="592">
        <v>0</v>
      </c>
      <c r="AD10" s="592">
        <v>0</v>
      </c>
      <c r="AE10" s="592">
        <v>0</v>
      </c>
      <c r="AF10" s="592">
        <v>0</v>
      </c>
      <c r="AG10" s="592">
        <v>0</v>
      </c>
      <c r="AH10" s="592">
        <v>0</v>
      </c>
      <c r="AI10" s="592">
        <v>0</v>
      </c>
      <c r="AJ10" s="460">
        <v>0</v>
      </c>
      <c r="AK10" s="460">
        <v>0</v>
      </c>
      <c r="AL10" s="460">
        <v>0</v>
      </c>
      <c r="AM10" s="460">
        <v>0</v>
      </c>
      <c r="AN10" s="460">
        <v>0</v>
      </c>
      <c r="AO10" s="460">
        <v>0</v>
      </c>
      <c r="AP10" s="460">
        <v>0</v>
      </c>
      <c r="AQ10" s="460">
        <v>0</v>
      </c>
      <c r="AR10" s="460">
        <v>0</v>
      </c>
      <c r="AS10" s="460">
        <v>0</v>
      </c>
      <c r="AT10" s="460">
        <v>0</v>
      </c>
      <c r="AU10" s="460">
        <v>0</v>
      </c>
      <c r="AV10" s="460">
        <v>0</v>
      </c>
      <c r="AW10" s="460">
        <v>0</v>
      </c>
      <c r="AX10" s="460">
        <v>0</v>
      </c>
      <c r="AY10" s="460">
        <v>0</v>
      </c>
    </row>
    <row r="11" spans="1:52" x14ac:dyDescent="0.2">
      <c r="A11" s="588" t="s">
        <v>388</v>
      </c>
      <c r="B11" s="588" t="s">
        <v>231</v>
      </c>
      <c r="C11" s="588" t="s">
        <v>51</v>
      </c>
      <c r="D11" s="588">
        <v>0</v>
      </c>
      <c r="E11" s="588">
        <v>0</v>
      </c>
      <c r="F11" s="589">
        <v>0</v>
      </c>
      <c r="G11" s="589">
        <v>0</v>
      </c>
      <c r="H11" s="588">
        <v>0</v>
      </c>
      <c r="I11" s="588">
        <v>0</v>
      </c>
      <c r="J11" s="588">
        <v>107456.268913401</v>
      </c>
      <c r="K11" s="588">
        <v>107456.268913401</v>
      </c>
      <c r="L11" s="460">
        <v>107456.268913401</v>
      </c>
      <c r="M11" s="460">
        <v>0</v>
      </c>
      <c r="N11" s="460">
        <v>107456.268913401</v>
      </c>
      <c r="O11" s="588">
        <v>6842.8483715713701</v>
      </c>
      <c r="P11" s="588">
        <v>13790.354616352901</v>
      </c>
      <c r="Q11" s="588">
        <v>8024.0696441550599</v>
      </c>
      <c r="R11" s="588">
        <v>72857.135623809794</v>
      </c>
      <c r="S11" s="592">
        <v>0</v>
      </c>
      <c r="T11" s="592">
        <v>0</v>
      </c>
      <c r="U11" s="592">
        <v>5941.8606575120803</v>
      </c>
      <c r="V11" s="592">
        <v>0</v>
      </c>
      <c r="W11" s="592">
        <v>0</v>
      </c>
      <c r="X11" s="592">
        <v>0</v>
      </c>
      <c r="Y11" s="592">
        <v>0</v>
      </c>
      <c r="Z11" s="592">
        <v>0</v>
      </c>
      <c r="AA11" s="592">
        <v>0</v>
      </c>
      <c r="AB11" s="592">
        <v>0</v>
      </c>
      <c r="AC11" s="592">
        <v>0</v>
      </c>
      <c r="AD11" s="592">
        <v>0</v>
      </c>
      <c r="AE11" s="592">
        <v>0</v>
      </c>
      <c r="AF11" s="592">
        <v>0</v>
      </c>
      <c r="AG11" s="592">
        <v>0</v>
      </c>
      <c r="AH11" s="592">
        <v>0</v>
      </c>
      <c r="AI11" s="592">
        <v>0</v>
      </c>
      <c r="AJ11" s="460">
        <v>0</v>
      </c>
      <c r="AK11" s="460">
        <v>0</v>
      </c>
      <c r="AL11" s="460">
        <v>0</v>
      </c>
      <c r="AM11" s="460">
        <v>0</v>
      </c>
      <c r="AN11" s="460">
        <v>0</v>
      </c>
      <c r="AO11" s="460">
        <v>0</v>
      </c>
      <c r="AP11" s="460">
        <v>0</v>
      </c>
      <c r="AQ11" s="460">
        <v>0</v>
      </c>
      <c r="AR11" s="460">
        <v>0</v>
      </c>
      <c r="AS11" s="460">
        <v>0</v>
      </c>
      <c r="AT11" s="460">
        <v>0</v>
      </c>
      <c r="AU11" s="460">
        <v>0</v>
      </c>
      <c r="AV11" s="460">
        <v>0</v>
      </c>
      <c r="AW11" s="460">
        <v>0</v>
      </c>
      <c r="AX11" s="460">
        <v>0</v>
      </c>
      <c r="AY11" s="460">
        <v>0</v>
      </c>
    </row>
    <row r="12" spans="1:52" x14ac:dyDescent="0.2">
      <c r="A12" s="588" t="s">
        <v>389</v>
      </c>
      <c r="B12" s="588" t="s">
        <v>231</v>
      </c>
      <c r="C12" s="588" t="s">
        <v>52</v>
      </c>
      <c r="D12" s="588">
        <v>3660321.5</v>
      </c>
      <c r="E12" s="588">
        <v>341.44600000000003</v>
      </c>
      <c r="F12" s="589">
        <v>0.57209191343409505</v>
      </c>
      <c r="G12" s="589">
        <v>0.88073998462501701</v>
      </c>
      <c r="H12" s="588">
        <v>0</v>
      </c>
      <c r="I12" s="588">
        <v>1554831.9446765799</v>
      </c>
      <c r="J12" s="588">
        <v>2717800.9480039598</v>
      </c>
      <c r="K12" s="588">
        <v>1765369.99775089</v>
      </c>
      <c r="L12" s="460">
        <v>366980.12974989298</v>
      </c>
      <c r="M12" s="460">
        <v>1508475.3135796399</v>
      </c>
      <c r="N12" s="460">
        <v>1875455.4433295301</v>
      </c>
      <c r="O12" s="588">
        <v>121203.41087467399</v>
      </c>
      <c r="P12" s="588">
        <v>20158.6021033123</v>
      </c>
      <c r="Q12" s="588">
        <v>0</v>
      </c>
      <c r="R12" s="588">
        <v>220211.13171327201</v>
      </c>
      <c r="S12" s="592">
        <v>0</v>
      </c>
      <c r="T12" s="592">
        <v>0</v>
      </c>
      <c r="U12" s="592">
        <v>5406.9850586348703</v>
      </c>
      <c r="V12" s="592">
        <v>0</v>
      </c>
      <c r="W12" s="592">
        <v>0</v>
      </c>
      <c r="X12" s="592">
        <v>0</v>
      </c>
      <c r="Y12" s="592">
        <v>0</v>
      </c>
      <c r="Z12" s="592">
        <v>0</v>
      </c>
      <c r="AA12" s="592">
        <v>1508475.3135796399</v>
      </c>
      <c r="AB12" s="592">
        <v>0</v>
      </c>
      <c r="AC12" s="592">
        <v>2973068.2411178001</v>
      </c>
      <c r="AD12" s="592">
        <v>0</v>
      </c>
      <c r="AE12" s="592">
        <v>878755.75989395496</v>
      </c>
      <c r="AF12" s="592">
        <v>27910960.7531907</v>
      </c>
      <c r="AG12" s="592">
        <v>18142124.515950698</v>
      </c>
      <c r="AH12" s="592">
        <v>0</v>
      </c>
      <c r="AI12" s="592">
        <v>0</v>
      </c>
      <c r="AJ12" s="460">
        <v>0</v>
      </c>
      <c r="AK12" s="460">
        <v>0.14980610157396099</v>
      </c>
      <c r="AL12" s="460">
        <v>0.12957803349807201</v>
      </c>
      <c r="AM12" s="460">
        <v>9.7307787530548306E-2</v>
      </c>
      <c r="AN12" s="460">
        <v>7.7079719454660106E-2</v>
      </c>
      <c r="AO12" s="460">
        <v>0.25598014662506502</v>
      </c>
      <c r="AP12" s="460">
        <v>-6.4103242280411102E-2</v>
      </c>
      <c r="AQ12" s="460">
        <v>-4.3875174204522902E-2</v>
      </c>
      <c r="AR12" s="460">
        <v>-1.16049282369988E-2</v>
      </c>
      <c r="AS12" s="460">
        <v>8.6231398388894702E-3</v>
      </c>
      <c r="AT12" s="460">
        <v>0</v>
      </c>
      <c r="AU12" s="460">
        <v>0</v>
      </c>
      <c r="AV12" s="460">
        <v>0</v>
      </c>
      <c r="AW12" s="460">
        <v>0</v>
      </c>
      <c r="AX12" s="460">
        <v>-0.17027728733151601</v>
      </c>
      <c r="AY12" s="460">
        <v>0</v>
      </c>
    </row>
    <row r="13" spans="1:52" x14ac:dyDescent="0.2">
      <c r="A13" s="588" t="s">
        <v>390</v>
      </c>
      <c r="B13" s="588" t="s">
        <v>231</v>
      </c>
      <c r="C13" s="588" t="s">
        <v>53</v>
      </c>
      <c r="D13" s="588">
        <v>1178810.6499999999</v>
      </c>
      <c r="E13" s="588">
        <v>103.29691236061601</v>
      </c>
      <c r="F13" s="589">
        <v>0.53299738877292602</v>
      </c>
      <c r="G13" s="589">
        <v>0.78235364153519005</v>
      </c>
      <c r="H13" s="588">
        <v>0</v>
      </c>
      <c r="I13" s="588">
        <v>436691.32833124499</v>
      </c>
      <c r="J13" s="588">
        <v>819312.32221719204</v>
      </c>
      <c r="K13" s="588">
        <v>558176.38616002095</v>
      </c>
      <c r="L13" s="460">
        <v>203393.47702862899</v>
      </c>
      <c r="M13" s="460">
        <v>382712.48408694402</v>
      </c>
      <c r="N13" s="460">
        <v>586105.96111557202</v>
      </c>
      <c r="O13" s="588">
        <v>44695.396616970298</v>
      </c>
      <c r="P13" s="588">
        <v>21677.503836284101</v>
      </c>
      <c r="Q13" s="588">
        <v>0</v>
      </c>
      <c r="R13" s="588">
        <v>129593.874636375</v>
      </c>
      <c r="S13" s="592">
        <v>0</v>
      </c>
      <c r="T13" s="592">
        <v>0</v>
      </c>
      <c r="U13" s="592">
        <v>7426.70193899879</v>
      </c>
      <c r="V13" s="592">
        <v>0</v>
      </c>
      <c r="W13" s="592">
        <v>0</v>
      </c>
      <c r="X13" s="592">
        <v>0</v>
      </c>
      <c r="Y13" s="592">
        <v>0</v>
      </c>
      <c r="Z13" s="592">
        <v>0</v>
      </c>
      <c r="AA13" s="592">
        <v>382712.48408694402</v>
      </c>
      <c r="AB13" s="592">
        <v>0</v>
      </c>
      <c r="AC13" s="592">
        <v>786647.42460974201</v>
      </c>
      <c r="AD13" s="592">
        <v>0</v>
      </c>
      <c r="AE13" s="592">
        <v>242360.96912091199</v>
      </c>
      <c r="AF13" s="592">
        <v>8012107.2076419396</v>
      </c>
      <c r="AG13" s="592">
        <v>5207869.7664321503</v>
      </c>
      <c r="AH13" s="592">
        <v>0</v>
      </c>
      <c r="AI13" s="592">
        <v>0</v>
      </c>
      <c r="AJ13" s="460">
        <v>0</v>
      </c>
      <c r="AK13" s="460">
        <v>0.15732196828310699</v>
      </c>
      <c r="AL13" s="460">
        <v>0.118266944607281</v>
      </c>
      <c r="AM13" s="460">
        <v>0.107179405629112</v>
      </c>
      <c r="AN13" s="460">
        <v>6.8124381953285795E-2</v>
      </c>
      <c r="AO13" s="460">
        <v>0.26528828266122401</v>
      </c>
      <c r="AP13" s="460">
        <v>-7.3469769991594103E-2</v>
      </c>
      <c r="AQ13" s="460">
        <v>-3.4414746315767603E-2</v>
      </c>
      <c r="AR13" s="460">
        <v>-2.3327207337599101E-2</v>
      </c>
      <c r="AS13" s="460">
        <v>1.57278163382274E-2</v>
      </c>
      <c r="AT13" s="460">
        <v>0</v>
      </c>
      <c r="AU13" s="460">
        <v>0</v>
      </c>
      <c r="AV13" s="460">
        <v>0</v>
      </c>
      <c r="AW13" s="460">
        <v>0</v>
      </c>
      <c r="AX13" s="460">
        <v>-0.18143608436971101</v>
      </c>
      <c r="AY13" s="460">
        <v>0</v>
      </c>
    </row>
    <row r="14" spans="1:52" x14ac:dyDescent="0.2">
      <c r="A14" s="588" t="s">
        <v>391</v>
      </c>
      <c r="B14" s="588" t="s">
        <v>231</v>
      </c>
      <c r="C14" s="588" t="s">
        <v>54</v>
      </c>
      <c r="D14" s="588">
        <v>9900</v>
      </c>
      <c r="E14" s="588">
        <v>2.1737997767026398</v>
      </c>
      <c r="F14" s="589">
        <v>1.8876934745219998E-2</v>
      </c>
      <c r="G14" s="589">
        <v>1.8859296541405699E-2</v>
      </c>
      <c r="H14" s="588">
        <v>1386.80117833488</v>
      </c>
      <c r="I14" s="588">
        <v>4911.2589787715997</v>
      </c>
      <c r="J14" s="588">
        <v>333637.86240248999</v>
      </c>
      <c r="K14" s="588">
        <v>333949.898039889</v>
      </c>
      <c r="L14" s="460">
        <v>330645.99147629499</v>
      </c>
      <c r="M14" s="460">
        <v>3564</v>
      </c>
      <c r="N14" s="460">
        <v>334209.99147629499</v>
      </c>
      <c r="O14" s="588">
        <v>23347.638504750401</v>
      </c>
      <c r="P14" s="588">
        <v>29709.647168093801</v>
      </c>
      <c r="Q14" s="588">
        <v>24510.2609599098</v>
      </c>
      <c r="R14" s="588">
        <v>247136.58418602901</v>
      </c>
      <c r="S14" s="592">
        <v>0</v>
      </c>
      <c r="T14" s="592">
        <v>0</v>
      </c>
      <c r="U14" s="592">
        <v>5941.8606575121403</v>
      </c>
      <c r="V14" s="592">
        <v>0</v>
      </c>
      <c r="W14" s="592">
        <v>0</v>
      </c>
      <c r="X14" s="592">
        <v>0</v>
      </c>
      <c r="Y14" s="592">
        <v>0</v>
      </c>
      <c r="Z14" s="592">
        <v>0</v>
      </c>
      <c r="AA14" s="592">
        <v>3564</v>
      </c>
      <c r="AB14" s="592">
        <v>0</v>
      </c>
      <c r="AC14" s="592">
        <v>2772</v>
      </c>
      <c r="AD14" s="592">
        <v>0</v>
      </c>
      <c r="AE14" s="592">
        <v>-475.20001888275101</v>
      </c>
      <c r="AF14" s="592">
        <v>80495.403002879393</v>
      </c>
      <c r="AG14" s="592">
        <v>52322.0138710315</v>
      </c>
      <c r="AH14" s="592">
        <v>2507.4303056721301</v>
      </c>
      <c r="AI14" s="592">
        <v>1379.0866681196701</v>
      </c>
      <c r="AJ14" s="460">
        <v>1.00559392704864</v>
      </c>
      <c r="AK14" s="460">
        <v>4.9725242487685399</v>
      </c>
      <c r="AL14" s="460">
        <v>4.4590714682556501E-2</v>
      </c>
      <c r="AM14" s="460">
        <v>4.9771748143916303</v>
      </c>
      <c r="AN14" s="460">
        <v>4.9241280305646097E-2</v>
      </c>
      <c r="AO14" s="460">
        <v>5.1287372385276004</v>
      </c>
      <c r="AP14" s="460">
        <v>-4.8786582330055097</v>
      </c>
      <c r="AQ14" s="460">
        <v>4.92753010804712E-2</v>
      </c>
      <c r="AR14" s="460">
        <v>-4.8833087986286001</v>
      </c>
      <c r="AS14" s="460">
        <v>4.4624735457381597E-2</v>
      </c>
      <c r="AT14" s="460">
        <v>-52.265445074835597</v>
      </c>
      <c r="AU14" s="460">
        <v>0.527890132730363</v>
      </c>
      <c r="AV14" s="460">
        <v>-52.315266946041099</v>
      </c>
      <c r="AW14" s="460">
        <v>0.47806826152485099</v>
      </c>
      <c r="AX14" s="460">
        <v>-5.0348712227645702</v>
      </c>
      <c r="AY14" s="460">
        <v>-53.938966983173501</v>
      </c>
    </row>
    <row r="15" spans="1:52" x14ac:dyDescent="0.2">
      <c r="A15" s="588" t="s">
        <v>392</v>
      </c>
      <c r="B15" s="588" t="s">
        <v>231</v>
      </c>
      <c r="C15" s="588" t="s">
        <v>55</v>
      </c>
      <c r="D15" s="588">
        <v>47887.199999999997</v>
      </c>
      <c r="E15" s="588">
        <v>10.9887573021532</v>
      </c>
      <c r="F15" s="589">
        <v>2.7310792563070199E-2</v>
      </c>
      <c r="G15" s="589">
        <v>2.7575076518390501E-2</v>
      </c>
      <c r="H15" s="588">
        <v>0</v>
      </c>
      <c r="I15" s="588">
        <v>13774.503230164801</v>
      </c>
      <c r="J15" s="588">
        <v>504361.16778210201</v>
      </c>
      <c r="K15" s="588">
        <v>499527.28947019298</v>
      </c>
      <c r="L15" s="460">
        <v>487032.65031601302</v>
      </c>
      <c r="M15" s="460">
        <v>13478.2546323145</v>
      </c>
      <c r="N15" s="460">
        <v>500510.90494832798</v>
      </c>
      <c r="O15" s="588">
        <v>39732.7605728333</v>
      </c>
      <c r="P15" s="588">
        <v>24727.684848363799</v>
      </c>
      <c r="Q15" s="588">
        <v>56556.625518911897</v>
      </c>
      <c r="R15" s="588">
        <v>361559.39184373402</v>
      </c>
      <c r="S15" s="592">
        <v>0</v>
      </c>
      <c r="T15" s="592">
        <v>0</v>
      </c>
      <c r="U15" s="592">
        <v>4456.1875321703101</v>
      </c>
      <c r="V15" s="592">
        <v>0</v>
      </c>
      <c r="W15" s="592">
        <v>0</v>
      </c>
      <c r="X15" s="592">
        <v>0</v>
      </c>
      <c r="Y15" s="592">
        <v>0</v>
      </c>
      <c r="Z15" s="592">
        <v>0</v>
      </c>
      <c r="AA15" s="592">
        <v>13478.2546323145</v>
      </c>
      <c r="AB15" s="592">
        <v>0</v>
      </c>
      <c r="AC15" s="592">
        <v>20463.643580154901</v>
      </c>
      <c r="AD15" s="592">
        <v>0</v>
      </c>
      <c r="AE15" s="592">
        <v>4191.2335352489299</v>
      </c>
      <c r="AF15" s="592">
        <v>241678.86177012499</v>
      </c>
      <c r="AG15" s="592">
        <v>157091.26591265399</v>
      </c>
      <c r="AH15" s="592">
        <v>0</v>
      </c>
      <c r="AI15" s="592">
        <v>0</v>
      </c>
      <c r="AJ15" s="460">
        <v>0</v>
      </c>
      <c r="AK15" s="460">
        <v>3.21062514107268</v>
      </c>
      <c r="AL15" s="460">
        <v>0.110308599051734</v>
      </c>
      <c r="AM15" s="460">
        <v>3.1798539948614302</v>
      </c>
      <c r="AN15" s="460">
        <v>7.9537452840485703E-2</v>
      </c>
      <c r="AO15" s="460">
        <v>3.33892023710527</v>
      </c>
      <c r="AP15" s="460">
        <v>-3.1229404238470599</v>
      </c>
      <c r="AQ15" s="460">
        <v>-2.26238818261199E-2</v>
      </c>
      <c r="AR15" s="460">
        <v>-3.0921692776358198</v>
      </c>
      <c r="AS15" s="460">
        <v>8.1472643851280002E-3</v>
      </c>
      <c r="AT15" s="460">
        <v>0</v>
      </c>
      <c r="AU15" s="460">
        <v>0</v>
      </c>
      <c r="AV15" s="460">
        <v>0</v>
      </c>
      <c r="AW15" s="460">
        <v>0</v>
      </c>
      <c r="AX15" s="460">
        <v>-3.2512355198796499</v>
      </c>
      <c r="AY15" s="460">
        <v>0</v>
      </c>
    </row>
    <row r="16" spans="1:52" x14ac:dyDescent="0.2">
      <c r="A16" s="588" t="s">
        <v>393</v>
      </c>
      <c r="B16" s="588" t="s">
        <v>231</v>
      </c>
      <c r="C16" s="588" t="s">
        <v>56</v>
      </c>
      <c r="D16" s="588">
        <v>42800</v>
      </c>
      <c r="E16" s="588">
        <v>0</v>
      </c>
      <c r="F16" s="589">
        <v>0.101249146002599</v>
      </c>
      <c r="G16" s="589">
        <v>0.11388557795663901</v>
      </c>
      <c r="H16" s="588">
        <v>0</v>
      </c>
      <c r="I16" s="588">
        <v>21079.421657459599</v>
      </c>
      <c r="J16" s="588">
        <v>208193.57485660599</v>
      </c>
      <c r="K16" s="588">
        <v>185092.98574649601</v>
      </c>
      <c r="L16" s="460">
        <v>177470.52138702999</v>
      </c>
      <c r="M16" s="460">
        <v>8222.5276212364206</v>
      </c>
      <c r="N16" s="460">
        <v>185693.049008267</v>
      </c>
      <c r="O16" s="588">
        <v>13551.937421859</v>
      </c>
      <c r="P16" s="588">
        <v>17082.781888522499</v>
      </c>
      <c r="Q16" s="588">
        <v>16165.3807068715</v>
      </c>
      <c r="R16" s="588">
        <v>126214.233837607</v>
      </c>
      <c r="S16" s="592">
        <v>0</v>
      </c>
      <c r="T16" s="592">
        <v>0</v>
      </c>
      <c r="U16" s="592">
        <v>4456.1875321703101</v>
      </c>
      <c r="V16" s="592">
        <v>0</v>
      </c>
      <c r="W16" s="592">
        <v>0</v>
      </c>
      <c r="X16" s="592">
        <v>0</v>
      </c>
      <c r="Y16" s="592">
        <v>0</v>
      </c>
      <c r="Z16" s="592">
        <v>0</v>
      </c>
      <c r="AA16" s="592">
        <v>8222.5276212364206</v>
      </c>
      <c r="AB16" s="592">
        <v>0</v>
      </c>
      <c r="AC16" s="592">
        <v>45927.1576314134</v>
      </c>
      <c r="AD16" s="592">
        <v>0</v>
      </c>
      <c r="AE16" s="592">
        <v>22622.778905054602</v>
      </c>
      <c r="AF16" s="592">
        <v>295019.239980585</v>
      </c>
      <c r="AG16" s="592">
        <v>191762.51302118701</v>
      </c>
      <c r="AH16" s="592">
        <v>0</v>
      </c>
      <c r="AI16" s="592">
        <v>0</v>
      </c>
      <c r="AJ16" s="460">
        <v>0</v>
      </c>
      <c r="AK16" s="460">
        <v>1.0856844311046501</v>
      </c>
      <c r="AL16" s="460">
        <v>0.16021407409373001</v>
      </c>
      <c r="AM16" s="460">
        <v>0.96521985882634997</v>
      </c>
      <c r="AN16" s="460">
        <v>3.9749501815425102E-2</v>
      </c>
      <c r="AO16" s="460">
        <v>1.1238922179208699</v>
      </c>
      <c r="AP16" s="460">
        <v>-0.97575980962699105</v>
      </c>
      <c r="AQ16" s="460">
        <v>-5.02894526160656E-2</v>
      </c>
      <c r="AR16" s="460">
        <v>-0.85529523734868595</v>
      </c>
      <c r="AS16" s="460">
        <v>7.0175119662238897E-2</v>
      </c>
      <c r="AT16" s="460">
        <v>0</v>
      </c>
      <c r="AU16" s="460">
        <v>0</v>
      </c>
      <c r="AV16" s="460">
        <v>0</v>
      </c>
      <c r="AW16" s="460">
        <v>0</v>
      </c>
      <c r="AX16" s="460">
        <v>-1.0139675964432</v>
      </c>
      <c r="AY16" s="460">
        <v>0</v>
      </c>
    </row>
    <row r="17" spans="1:51" x14ac:dyDescent="0.2">
      <c r="A17" s="588" t="s">
        <v>394</v>
      </c>
      <c r="B17" s="588" t="s">
        <v>231</v>
      </c>
      <c r="C17" s="588" t="s">
        <v>57</v>
      </c>
      <c r="D17" s="588">
        <v>120375</v>
      </c>
      <c r="E17" s="588">
        <v>4.5804794520547896</v>
      </c>
      <c r="F17" s="589">
        <v>0.11442557611156801</v>
      </c>
      <c r="G17" s="589">
        <v>0.12859228104998999</v>
      </c>
      <c r="H17" s="588">
        <v>0</v>
      </c>
      <c r="I17" s="588">
        <v>46208.199161060198</v>
      </c>
      <c r="J17" s="588">
        <v>403827.54215723701</v>
      </c>
      <c r="K17" s="588">
        <v>359338.82487936399</v>
      </c>
      <c r="L17" s="460">
        <v>339516.76225968701</v>
      </c>
      <c r="M17" s="460">
        <v>21382.514855285001</v>
      </c>
      <c r="N17" s="460">
        <v>360899.27711497201</v>
      </c>
      <c r="O17" s="588">
        <v>23936.6903823352</v>
      </c>
      <c r="P17" s="588">
        <v>19258.577677139299</v>
      </c>
      <c r="Q17" s="588">
        <v>19235.158009072002</v>
      </c>
      <c r="R17" s="588">
        <v>272135.20156514202</v>
      </c>
      <c r="S17" s="592">
        <v>0</v>
      </c>
      <c r="T17" s="592">
        <v>0</v>
      </c>
      <c r="U17" s="592">
        <v>4951.1346259991897</v>
      </c>
      <c r="V17" s="592">
        <v>0</v>
      </c>
      <c r="W17" s="592">
        <v>0</v>
      </c>
      <c r="X17" s="592">
        <v>0</v>
      </c>
      <c r="Y17" s="592">
        <v>0</v>
      </c>
      <c r="Z17" s="592">
        <v>0</v>
      </c>
      <c r="AA17" s="592">
        <v>21382.514855285001</v>
      </c>
      <c r="AB17" s="592">
        <v>0</v>
      </c>
      <c r="AC17" s="592">
        <v>93570.015015733603</v>
      </c>
      <c r="AD17" s="592">
        <v>0</v>
      </c>
      <c r="AE17" s="592">
        <v>43312.501817353303</v>
      </c>
      <c r="AF17" s="592">
        <v>698387.96298719896</v>
      </c>
      <c r="AG17" s="592">
        <v>453952.19259254599</v>
      </c>
      <c r="AH17" s="592">
        <v>0</v>
      </c>
      <c r="AI17" s="592">
        <v>0</v>
      </c>
      <c r="AJ17" s="460">
        <v>0</v>
      </c>
      <c r="AK17" s="460">
        <v>0.88958165363395703</v>
      </c>
      <c r="AL17" s="460">
        <v>0.14166861829715499</v>
      </c>
      <c r="AM17" s="460">
        <v>0.79157856431347895</v>
      </c>
      <c r="AN17" s="460">
        <v>4.3665528976677803E-2</v>
      </c>
      <c r="AO17" s="460">
        <v>0.94856020099779004</v>
      </c>
      <c r="AP17" s="460">
        <v>-0.78779076041860996</v>
      </c>
      <c r="AQ17" s="460">
        <v>-3.9877725081808799E-2</v>
      </c>
      <c r="AR17" s="460">
        <v>-0.68978767109813299</v>
      </c>
      <c r="AS17" s="460">
        <v>5.8125364238668702E-2</v>
      </c>
      <c r="AT17" s="460">
        <v>0</v>
      </c>
      <c r="AU17" s="460">
        <v>0</v>
      </c>
      <c r="AV17" s="460">
        <v>0</v>
      </c>
      <c r="AW17" s="460">
        <v>0</v>
      </c>
      <c r="AX17" s="460">
        <v>-0.84676930778244397</v>
      </c>
      <c r="AY17" s="460">
        <v>0</v>
      </c>
    </row>
    <row r="18" spans="1:51" x14ac:dyDescent="0.2">
      <c r="A18" s="588" t="s">
        <v>395</v>
      </c>
      <c r="B18" s="588" t="s">
        <v>231</v>
      </c>
      <c r="C18" s="588" t="s">
        <v>58</v>
      </c>
      <c r="D18" s="588">
        <v>96415.5</v>
      </c>
      <c r="E18" s="588">
        <v>25.988741497111398</v>
      </c>
      <c r="F18" s="589">
        <v>7.8692714979384501E-2</v>
      </c>
      <c r="G18" s="589">
        <v>8.5680882118429905E-2</v>
      </c>
      <c r="H18" s="588">
        <v>6.4014877533876504</v>
      </c>
      <c r="I18" s="588">
        <v>14580.9166364422</v>
      </c>
      <c r="J18" s="588">
        <v>185370.629644906</v>
      </c>
      <c r="K18" s="588">
        <v>170251.726680786</v>
      </c>
      <c r="L18" s="460">
        <v>157049.41234193899</v>
      </c>
      <c r="M18" s="460">
        <v>14241.6401305447</v>
      </c>
      <c r="N18" s="460">
        <v>171291.05247248401</v>
      </c>
      <c r="O18" s="588">
        <v>11396.9215518861</v>
      </c>
      <c r="P18" s="588">
        <v>14616.113765710201</v>
      </c>
      <c r="Q18" s="588">
        <v>7578.40877256158</v>
      </c>
      <c r="R18" s="588">
        <v>120979.90540721601</v>
      </c>
      <c r="S18" s="592">
        <v>0</v>
      </c>
      <c r="T18" s="592">
        <v>0</v>
      </c>
      <c r="U18" s="592">
        <v>2478.06284456512</v>
      </c>
      <c r="V18" s="592">
        <v>0</v>
      </c>
      <c r="W18" s="592">
        <v>0</v>
      </c>
      <c r="X18" s="592">
        <v>0</v>
      </c>
      <c r="Y18" s="592">
        <v>0</v>
      </c>
      <c r="Z18" s="592">
        <v>0</v>
      </c>
      <c r="AA18" s="592">
        <v>14241.6401305447</v>
      </c>
      <c r="AB18" s="592">
        <v>0</v>
      </c>
      <c r="AC18" s="592">
        <v>38237.064412915402</v>
      </c>
      <c r="AD18" s="592">
        <v>0</v>
      </c>
      <c r="AE18" s="592">
        <v>14397.2551415179</v>
      </c>
      <c r="AF18" s="592">
        <v>303476.52462897199</v>
      </c>
      <c r="AG18" s="592">
        <v>197259.74824427601</v>
      </c>
      <c r="AH18" s="592">
        <v>11.822627593955501</v>
      </c>
      <c r="AI18" s="592">
        <v>6.5024451766754998</v>
      </c>
      <c r="AJ18" s="460">
        <v>0.98447392933815303</v>
      </c>
      <c r="AK18" s="460">
        <v>0.93931622333443798</v>
      </c>
      <c r="AL18" s="460">
        <v>0.14351021479625101</v>
      </c>
      <c r="AM18" s="460">
        <v>0.86270521510502995</v>
      </c>
      <c r="AN18" s="460">
        <v>6.6899206566843505E-2</v>
      </c>
      <c r="AO18" s="460">
        <v>1.0125596947290001</v>
      </c>
      <c r="AP18" s="460">
        <v>-0.86539887949606897</v>
      </c>
      <c r="AQ18" s="460">
        <v>-6.9592870957882594E-2</v>
      </c>
      <c r="AR18" s="460">
        <v>-0.78878787126666094</v>
      </c>
      <c r="AS18" s="460">
        <v>7.01813727152525E-3</v>
      </c>
      <c r="AT18" s="460">
        <v>-11.5258827103566</v>
      </c>
      <c r="AU18" s="460">
        <v>-0.92687809880740102</v>
      </c>
      <c r="AV18" s="460">
        <v>-10.5055330009965</v>
      </c>
      <c r="AW18" s="460">
        <v>9.3471610552655807E-2</v>
      </c>
      <c r="AX18" s="460">
        <v>-0.93864235089062797</v>
      </c>
      <c r="AY18" s="460">
        <v>-12.5013816168084</v>
      </c>
    </row>
    <row r="19" spans="1:51" x14ac:dyDescent="0.2">
      <c r="A19" s="588" t="s">
        <v>182</v>
      </c>
      <c r="B19" s="588" t="s">
        <v>231</v>
      </c>
      <c r="C19" s="588" t="s">
        <v>41</v>
      </c>
      <c r="D19" s="588">
        <v>1100000</v>
      </c>
      <c r="E19" s="588">
        <v>83.368421052631604</v>
      </c>
      <c r="F19" s="589">
        <v>0.65395789941948201</v>
      </c>
      <c r="G19" s="589">
        <v>0.55436205151909002</v>
      </c>
      <c r="H19" s="588">
        <v>0</v>
      </c>
      <c r="I19" s="588">
        <v>528632.987178899</v>
      </c>
      <c r="J19" s="588">
        <v>808359.35715153301</v>
      </c>
      <c r="K19" s="588">
        <v>953587.97690122097</v>
      </c>
      <c r="L19" s="460">
        <v>708854.15737572697</v>
      </c>
      <c r="M19" s="460">
        <v>264000</v>
      </c>
      <c r="N19" s="460">
        <v>972854.15737572697</v>
      </c>
      <c r="O19" s="588">
        <v>59313.688164442101</v>
      </c>
      <c r="P19" s="588">
        <v>11673.7942271013</v>
      </c>
      <c r="Q19" s="588">
        <v>6539.25805733369</v>
      </c>
      <c r="R19" s="588">
        <v>623008.97837510402</v>
      </c>
      <c r="S19" s="592">
        <v>0</v>
      </c>
      <c r="T19" s="592">
        <v>0</v>
      </c>
      <c r="U19" s="592">
        <v>8318.4385517459596</v>
      </c>
      <c r="V19" s="592">
        <v>0</v>
      </c>
      <c r="W19" s="592">
        <v>0</v>
      </c>
      <c r="X19" s="592">
        <v>0</v>
      </c>
      <c r="Y19" s="592">
        <v>0</v>
      </c>
      <c r="Z19" s="592">
        <v>0</v>
      </c>
      <c r="AA19" s="592">
        <v>264000</v>
      </c>
      <c r="AB19" s="592">
        <v>0</v>
      </c>
      <c r="AC19" s="592">
        <v>64163</v>
      </c>
      <c r="AD19" s="592">
        <v>0</v>
      </c>
      <c r="AE19" s="592">
        <v>-159869.602382243</v>
      </c>
      <c r="AF19" s="592">
        <v>7174353.4605118902</v>
      </c>
      <c r="AG19" s="592">
        <v>6098200.5269600702</v>
      </c>
      <c r="AH19" s="592">
        <v>0</v>
      </c>
      <c r="AI19" s="592">
        <v>0</v>
      </c>
      <c r="AJ19" s="460">
        <v>0</v>
      </c>
      <c r="AK19" s="460">
        <v>0.132557031140217</v>
      </c>
      <c r="AL19" s="460">
        <v>1.63171413166712E-2</v>
      </c>
      <c r="AM19" s="460">
        <v>0.15637202690948299</v>
      </c>
      <c r="AN19" s="460">
        <v>4.0132137085936999E-2</v>
      </c>
      <c r="AO19" s="460">
        <v>0.31389872625670301</v>
      </c>
      <c r="AP19" s="460">
        <v>-4.5870313502477798E-2</v>
      </c>
      <c r="AQ19" s="460">
        <v>7.0369576321067898E-2</v>
      </c>
      <c r="AR19" s="460">
        <v>-6.9685309271743504E-2</v>
      </c>
      <c r="AS19" s="460">
        <v>4.6554580551802199E-2</v>
      </c>
      <c r="AT19" s="460">
        <v>0</v>
      </c>
      <c r="AU19" s="460">
        <v>0</v>
      </c>
      <c r="AV19" s="460">
        <v>0</v>
      </c>
      <c r="AW19" s="460">
        <v>0</v>
      </c>
      <c r="AX19" s="460">
        <v>-0.22721200861896401</v>
      </c>
      <c r="AY19" s="460">
        <v>0</v>
      </c>
    </row>
    <row r="20" spans="1:51" x14ac:dyDescent="0.2">
      <c r="A20" s="588" t="s">
        <v>396</v>
      </c>
      <c r="B20" s="588" t="s">
        <v>231</v>
      </c>
      <c r="C20" s="588" t="s">
        <v>202</v>
      </c>
      <c r="D20" s="588">
        <v>0</v>
      </c>
      <c r="E20" s="588">
        <v>0</v>
      </c>
      <c r="F20" s="589">
        <v>0</v>
      </c>
      <c r="G20" s="589">
        <v>0</v>
      </c>
      <c r="H20" s="588">
        <v>0</v>
      </c>
      <c r="I20" s="588">
        <v>0</v>
      </c>
      <c r="J20" s="588">
        <v>73731.357747134403</v>
      </c>
      <c r="K20" s="588">
        <v>73731.357747134403</v>
      </c>
      <c r="L20" s="460">
        <v>73731.357747134403</v>
      </c>
      <c r="M20" s="460">
        <v>0</v>
      </c>
      <c r="N20" s="460">
        <v>73731.357747134403</v>
      </c>
      <c r="O20" s="588">
        <v>5375.1932488233597</v>
      </c>
      <c r="P20" s="588">
        <v>19122.4246696435</v>
      </c>
      <c r="Q20" s="588">
        <v>5536.1080447086697</v>
      </c>
      <c r="R20" s="588">
        <v>39241.444251788504</v>
      </c>
      <c r="S20" s="592">
        <v>0</v>
      </c>
      <c r="T20" s="592">
        <v>0</v>
      </c>
      <c r="U20" s="592">
        <v>4456.1875321703101</v>
      </c>
      <c r="V20" s="592">
        <v>0</v>
      </c>
      <c r="W20" s="592">
        <v>0</v>
      </c>
      <c r="X20" s="592">
        <v>0</v>
      </c>
      <c r="Y20" s="592">
        <v>0</v>
      </c>
      <c r="Z20" s="592">
        <v>0</v>
      </c>
      <c r="AA20" s="592">
        <v>0</v>
      </c>
      <c r="AB20" s="592">
        <v>0</v>
      </c>
      <c r="AC20" s="592">
        <v>0</v>
      </c>
      <c r="AD20" s="592">
        <v>0</v>
      </c>
      <c r="AE20" s="592">
        <v>0</v>
      </c>
      <c r="AF20" s="592">
        <v>0</v>
      </c>
      <c r="AG20" s="592">
        <v>0</v>
      </c>
      <c r="AH20" s="592">
        <v>0</v>
      </c>
      <c r="AI20" s="592">
        <v>0</v>
      </c>
      <c r="AJ20" s="460">
        <v>0</v>
      </c>
      <c r="AK20" s="460">
        <v>0</v>
      </c>
      <c r="AL20" s="460">
        <v>0</v>
      </c>
      <c r="AM20" s="460">
        <v>0</v>
      </c>
      <c r="AN20" s="460">
        <v>0</v>
      </c>
      <c r="AO20" s="460">
        <v>0</v>
      </c>
      <c r="AP20" s="460">
        <v>0</v>
      </c>
      <c r="AQ20" s="460">
        <v>0</v>
      </c>
      <c r="AR20" s="460">
        <v>0</v>
      </c>
      <c r="AS20" s="460">
        <v>0</v>
      </c>
      <c r="AT20" s="460">
        <v>0</v>
      </c>
      <c r="AU20" s="460">
        <v>0</v>
      </c>
      <c r="AV20" s="460">
        <v>0</v>
      </c>
      <c r="AW20" s="460">
        <v>0</v>
      </c>
      <c r="AX20" s="460">
        <v>0</v>
      </c>
      <c r="AY20" s="460">
        <v>0</v>
      </c>
    </row>
    <row r="21" spans="1:51" x14ac:dyDescent="0.2">
      <c r="A21" s="588" t="s">
        <v>397</v>
      </c>
      <c r="B21" s="588" t="s">
        <v>231</v>
      </c>
      <c r="C21" s="588" t="s">
        <v>60</v>
      </c>
      <c r="D21" s="588">
        <v>99732</v>
      </c>
      <c r="E21" s="588">
        <v>1.36945679158444</v>
      </c>
      <c r="F21" s="589">
        <v>0.16425265672637199</v>
      </c>
      <c r="G21" s="589">
        <v>0.29070889693284702</v>
      </c>
      <c r="H21" s="588">
        <v>0</v>
      </c>
      <c r="I21" s="588">
        <v>34852.311405376597</v>
      </c>
      <c r="J21" s="588">
        <v>212187.20049951499</v>
      </c>
      <c r="K21" s="588">
        <v>119887.322930565</v>
      </c>
      <c r="L21" s="460">
        <v>100775.401926562</v>
      </c>
      <c r="M21" s="460">
        <v>20616.468761201599</v>
      </c>
      <c r="N21" s="460">
        <v>121391.870687763</v>
      </c>
      <c r="O21" s="588">
        <v>9595.4494058506098</v>
      </c>
      <c r="P21" s="588">
        <v>8974.6050590203704</v>
      </c>
      <c r="Q21" s="588">
        <v>0</v>
      </c>
      <c r="R21" s="588">
        <v>79553.016146838796</v>
      </c>
      <c r="S21" s="592">
        <v>0</v>
      </c>
      <c r="T21" s="592">
        <v>0</v>
      </c>
      <c r="U21" s="592">
        <v>2652.33131485185</v>
      </c>
      <c r="V21" s="592">
        <v>0</v>
      </c>
      <c r="W21" s="592">
        <v>0</v>
      </c>
      <c r="X21" s="592">
        <v>0</v>
      </c>
      <c r="Y21" s="592">
        <v>0</v>
      </c>
      <c r="Z21" s="592">
        <v>0</v>
      </c>
      <c r="AA21" s="592">
        <v>20616.468761201599</v>
      </c>
      <c r="AB21" s="592">
        <v>0</v>
      </c>
      <c r="AC21" s="592">
        <v>171102.821559898</v>
      </c>
      <c r="AD21" s="592">
        <v>0</v>
      </c>
      <c r="AE21" s="592">
        <v>90439.597871680598</v>
      </c>
      <c r="AF21" s="592">
        <v>387596.29581992998</v>
      </c>
      <c r="AG21" s="592">
        <v>268279.48236686701</v>
      </c>
      <c r="AH21" s="592">
        <v>0</v>
      </c>
      <c r="AI21" s="592">
        <v>0</v>
      </c>
      <c r="AJ21" s="460">
        <v>0</v>
      </c>
      <c r="AK21" s="460">
        <v>0.79091848033817402</v>
      </c>
      <c r="AL21" s="460">
        <v>0.41528259108760202</v>
      </c>
      <c r="AM21" s="460">
        <v>0.44687473627454399</v>
      </c>
      <c r="AN21" s="460">
        <v>7.1238847023971194E-2</v>
      </c>
      <c r="AO21" s="460">
        <v>0.59815641572102896</v>
      </c>
      <c r="AP21" s="460">
        <v>-0.661008018688645</v>
      </c>
      <c r="AQ21" s="460">
        <v>-0.285372129438072</v>
      </c>
      <c r="AR21" s="460">
        <v>-0.31696427462501398</v>
      </c>
      <c r="AS21" s="460">
        <v>5.8671614625558401E-2</v>
      </c>
      <c r="AT21" s="460">
        <v>0</v>
      </c>
      <c r="AU21" s="460">
        <v>0</v>
      </c>
      <c r="AV21" s="460">
        <v>0</v>
      </c>
      <c r="AW21" s="460">
        <v>0</v>
      </c>
      <c r="AX21" s="460">
        <v>-0.46824595407149899</v>
      </c>
      <c r="AY21" s="460">
        <v>0</v>
      </c>
    </row>
    <row r="22" spans="1:51" x14ac:dyDescent="0.2">
      <c r="A22" s="588" t="s">
        <v>398</v>
      </c>
      <c r="B22" s="588" t="s">
        <v>231</v>
      </c>
      <c r="C22" s="588" t="s">
        <v>89</v>
      </c>
      <c r="D22" s="588">
        <v>0</v>
      </c>
      <c r="E22" s="588">
        <v>0</v>
      </c>
      <c r="F22" s="589">
        <v>0</v>
      </c>
      <c r="G22" s="589">
        <v>0</v>
      </c>
      <c r="H22" s="588">
        <v>0</v>
      </c>
      <c r="I22" s="588">
        <v>0</v>
      </c>
      <c r="J22" s="588">
        <v>961589.15554761095</v>
      </c>
      <c r="K22" s="588">
        <v>961589.15554761095</v>
      </c>
      <c r="L22" s="460">
        <v>961589.15554761095</v>
      </c>
      <c r="M22" s="460">
        <v>0</v>
      </c>
      <c r="N22" s="460">
        <v>961589.15554761095</v>
      </c>
      <c r="O22" s="588">
        <v>60608.973264984998</v>
      </c>
      <c r="P22" s="588">
        <v>7130.3506847600502</v>
      </c>
      <c r="Q22" s="588">
        <v>0</v>
      </c>
      <c r="R22" s="588">
        <v>893849.83159786602</v>
      </c>
      <c r="S22" s="592">
        <v>0</v>
      </c>
      <c r="T22" s="592">
        <v>0</v>
      </c>
      <c r="U22" s="592">
        <v>0</v>
      </c>
      <c r="V22" s="592">
        <v>0</v>
      </c>
      <c r="W22" s="592">
        <v>0</v>
      </c>
      <c r="X22" s="592">
        <v>0</v>
      </c>
      <c r="Y22" s="592">
        <v>0</v>
      </c>
      <c r="Z22" s="592">
        <v>0</v>
      </c>
      <c r="AA22" s="592">
        <v>0</v>
      </c>
      <c r="AB22" s="592">
        <v>0</v>
      </c>
      <c r="AC22" s="592">
        <v>0</v>
      </c>
      <c r="AD22" s="592">
        <v>0</v>
      </c>
      <c r="AE22" s="592">
        <v>0</v>
      </c>
      <c r="AF22" s="592">
        <v>0</v>
      </c>
      <c r="AG22" s="592">
        <v>0</v>
      </c>
      <c r="AH22" s="592">
        <v>0</v>
      </c>
      <c r="AI22" s="592">
        <v>0</v>
      </c>
      <c r="AJ22" s="460">
        <v>0</v>
      </c>
      <c r="AK22" s="460">
        <v>0</v>
      </c>
      <c r="AL22" s="460">
        <v>0</v>
      </c>
      <c r="AM22" s="460">
        <v>0</v>
      </c>
      <c r="AN22" s="460">
        <v>0</v>
      </c>
      <c r="AO22" s="460">
        <v>0</v>
      </c>
      <c r="AP22" s="460">
        <v>0</v>
      </c>
      <c r="AQ22" s="460">
        <v>0</v>
      </c>
      <c r="AR22" s="460">
        <v>0</v>
      </c>
      <c r="AS22" s="460">
        <v>0</v>
      </c>
      <c r="AT22" s="460">
        <v>0</v>
      </c>
      <c r="AU22" s="460">
        <v>0</v>
      </c>
      <c r="AV22" s="460">
        <v>0</v>
      </c>
      <c r="AW22" s="460">
        <v>0</v>
      </c>
      <c r="AX22" s="460">
        <v>0</v>
      </c>
      <c r="AY22" s="460">
        <v>0</v>
      </c>
    </row>
    <row r="23" spans="1:51" x14ac:dyDescent="0.2">
      <c r="A23" s="588" t="s">
        <v>183</v>
      </c>
      <c r="B23" s="588" t="s">
        <v>231</v>
      </c>
      <c r="C23" s="588" t="s">
        <v>201</v>
      </c>
      <c r="D23" s="588">
        <v>785764.08372200001</v>
      </c>
      <c r="E23" s="588">
        <v>171.147550987138</v>
      </c>
      <c r="F23" s="589">
        <v>2.0959695281898201</v>
      </c>
      <c r="G23" s="589">
        <v>2.4351706151494898</v>
      </c>
      <c r="H23" s="588">
        <v>-23.832857280845701</v>
      </c>
      <c r="I23" s="588">
        <v>425143.736111356</v>
      </c>
      <c r="J23" s="588">
        <v>202827.330042927</v>
      </c>
      <c r="K23" s="588">
        <v>174574.997172417</v>
      </c>
      <c r="L23" s="460">
        <v>44321.363941272401</v>
      </c>
      <c r="M23" s="460">
        <v>140507.59</v>
      </c>
      <c r="N23" s="460">
        <v>184828.95394127199</v>
      </c>
      <c r="O23" s="588">
        <v>8802.9442513636495</v>
      </c>
      <c r="P23" s="588">
        <v>9125.7879439669196</v>
      </c>
      <c r="Q23" s="588">
        <v>714.20959094941395</v>
      </c>
      <c r="R23" s="588">
        <v>23026.090840140601</v>
      </c>
      <c r="S23" s="592">
        <v>0</v>
      </c>
      <c r="T23" s="592">
        <v>0</v>
      </c>
      <c r="U23" s="592">
        <v>2652.33131485185</v>
      </c>
      <c r="V23" s="592">
        <v>0</v>
      </c>
      <c r="W23" s="592">
        <v>0</v>
      </c>
      <c r="X23" s="592">
        <v>0</v>
      </c>
      <c r="Y23" s="592">
        <v>0</v>
      </c>
      <c r="Z23" s="592">
        <v>0</v>
      </c>
      <c r="AA23" s="592">
        <v>140507.59</v>
      </c>
      <c r="AB23" s="592">
        <v>0</v>
      </c>
      <c r="AC23" s="592">
        <v>144426.58047843201</v>
      </c>
      <c r="AD23" s="592">
        <v>0</v>
      </c>
      <c r="AE23" s="592">
        <v>2351.3943804953101</v>
      </c>
      <c r="AF23" s="592">
        <v>5130147.5141238598</v>
      </c>
      <c r="AG23" s="592">
        <v>3291847.1006467598</v>
      </c>
      <c r="AH23" s="592">
        <v>-54.156649085963998</v>
      </c>
      <c r="AI23" s="592">
        <v>-29.786156997280202</v>
      </c>
      <c r="AJ23" s="460">
        <v>0.80013199698846504</v>
      </c>
      <c r="AK23" s="460">
        <v>6.1618506159171298E-2</v>
      </c>
      <c r="AL23" s="460">
        <v>4.8153771222217E-2</v>
      </c>
      <c r="AM23" s="460">
        <v>5.3035508263256301E-2</v>
      </c>
      <c r="AN23" s="460">
        <v>3.9570773326302003E-2</v>
      </c>
      <c r="AO23" s="460">
        <v>0.211790556863381</v>
      </c>
      <c r="AP23" s="460">
        <v>6.7532005123028496E-2</v>
      </c>
      <c r="AQ23" s="460">
        <v>8.0996740059982794E-2</v>
      </c>
      <c r="AR23" s="460">
        <v>7.61150030189435E-2</v>
      </c>
      <c r="AS23" s="460">
        <v>8.9579737955897798E-2</v>
      </c>
      <c r="AT23" s="460">
        <v>0.41838408213220002</v>
      </c>
      <c r="AU23" s="460">
        <v>0.50180276276357905</v>
      </c>
      <c r="AV23" s="460">
        <v>0.47155871673819599</v>
      </c>
      <c r="AW23" s="460">
        <v>0.55497739736957596</v>
      </c>
      <c r="AX23" s="460">
        <v>-8.2640045581180696E-2</v>
      </c>
      <c r="AY23" s="460">
        <v>-0.51198360769678397</v>
      </c>
    </row>
    <row r="24" spans="1:51" x14ac:dyDescent="0.2">
      <c r="A24" s="588" t="s">
        <v>184</v>
      </c>
      <c r="B24" s="588" t="s">
        <v>231</v>
      </c>
      <c r="C24" s="588" t="s">
        <v>67</v>
      </c>
      <c r="D24" s="588">
        <v>223933.69</v>
      </c>
      <c r="E24" s="588">
        <v>30.1434741386139</v>
      </c>
      <c r="F24" s="589">
        <v>1.0715587102631301</v>
      </c>
      <c r="G24" s="589">
        <v>1.1808164838670501</v>
      </c>
      <c r="H24" s="588">
        <v>-86.054209510704695</v>
      </c>
      <c r="I24" s="588">
        <v>108779.98689724501</v>
      </c>
      <c r="J24" s="588">
        <v>101435.34987555099</v>
      </c>
      <c r="K24" s="588">
        <v>92049.809748398693</v>
      </c>
      <c r="L24" s="460">
        <v>55915.0698754193</v>
      </c>
      <c r="M24" s="460">
        <v>38979.375</v>
      </c>
      <c r="N24" s="460">
        <v>94894.4448754193</v>
      </c>
      <c r="O24" s="588">
        <v>6896.7169754121696</v>
      </c>
      <c r="P24" s="588">
        <v>27226.180946954199</v>
      </c>
      <c r="Q24" s="588">
        <v>725.01414964121898</v>
      </c>
      <c r="R24" s="588">
        <v>16907.938527538699</v>
      </c>
      <c r="S24" s="592">
        <v>0</v>
      </c>
      <c r="T24" s="592">
        <v>0</v>
      </c>
      <c r="U24" s="592">
        <v>4159.2192758729798</v>
      </c>
      <c r="V24" s="592">
        <v>0</v>
      </c>
      <c r="W24" s="592">
        <v>0</v>
      </c>
      <c r="X24" s="592">
        <v>0</v>
      </c>
      <c r="Y24" s="592">
        <v>0</v>
      </c>
      <c r="Z24" s="592">
        <v>0</v>
      </c>
      <c r="AA24" s="592">
        <v>38979.375</v>
      </c>
      <c r="AB24" s="592">
        <v>0</v>
      </c>
      <c r="AC24" s="592">
        <v>21925.036073509698</v>
      </c>
      <c r="AD24" s="592">
        <v>0</v>
      </c>
      <c r="AE24" s="592">
        <v>-10232.6037625013</v>
      </c>
      <c r="AF24" s="592">
        <v>1555275.1691083999</v>
      </c>
      <c r="AG24" s="592">
        <v>982238.52281434298</v>
      </c>
      <c r="AH24" s="592">
        <v>-195.54548461911801</v>
      </c>
      <c r="AI24" s="592">
        <v>-107.550016540515</v>
      </c>
      <c r="AJ24" s="460">
        <v>0.80013199698846504</v>
      </c>
      <c r="AK24" s="460">
        <v>0.103351329667372</v>
      </c>
      <c r="AL24" s="460">
        <v>4.6380097969954501E-2</v>
      </c>
      <c r="AM24" s="460">
        <v>9.3788509082853994E-2</v>
      </c>
      <c r="AN24" s="460">
        <v>3.6817277385436997E-2</v>
      </c>
      <c r="AO24" s="460">
        <v>0.251926681642963</v>
      </c>
      <c r="AP24" s="460">
        <v>7.3956878549765502E-3</v>
      </c>
      <c r="AQ24" s="460">
        <v>6.4366919552393501E-2</v>
      </c>
      <c r="AR24" s="460">
        <v>1.6958508439494101E-2</v>
      </c>
      <c r="AS24" s="460">
        <v>7.3929740136911101E-2</v>
      </c>
      <c r="AT24" s="460">
        <v>5.3432829388045097E-2</v>
      </c>
      <c r="AU24" s="460">
        <v>0.465042156743048</v>
      </c>
      <c r="AV24" s="460">
        <v>0.122522895218381</v>
      </c>
      <c r="AW24" s="460">
        <v>0.534132222573383</v>
      </c>
      <c r="AX24" s="460">
        <v>-0.141179664120615</v>
      </c>
      <c r="AY24" s="460">
        <v>-1.0200036905209799</v>
      </c>
    </row>
    <row r="25" spans="1:51" x14ac:dyDescent="0.2">
      <c r="A25" s="588" t="s">
        <v>404</v>
      </c>
      <c r="B25" s="588" t="s">
        <v>231</v>
      </c>
      <c r="C25" s="588" t="s">
        <v>61</v>
      </c>
      <c r="D25" s="588">
        <v>3115400</v>
      </c>
      <c r="E25" s="588">
        <v>867.68705381756195</v>
      </c>
      <c r="F25" s="589">
        <v>0.69655490984089596</v>
      </c>
      <c r="G25" s="589">
        <v>0.81865035940156805</v>
      </c>
      <c r="H25" s="588">
        <v>25531.006750278</v>
      </c>
      <c r="I25" s="588">
        <v>1507255.9103063899</v>
      </c>
      <c r="J25" s="588">
        <v>2200525.6088235402</v>
      </c>
      <c r="K25" s="588">
        <v>1872334.0183679</v>
      </c>
      <c r="L25" s="460">
        <v>1055704.4608533799</v>
      </c>
      <c r="M25" s="460">
        <v>880917.08617073705</v>
      </c>
      <c r="N25" s="460">
        <v>1936621.5470241201</v>
      </c>
      <c r="O25" s="588">
        <v>137201.98550146501</v>
      </c>
      <c r="P25" s="588">
        <v>23703.884960831001</v>
      </c>
      <c r="Q25" s="588">
        <v>0</v>
      </c>
      <c r="R25" s="588">
        <v>886481.76349814504</v>
      </c>
      <c r="S25" s="592">
        <v>0</v>
      </c>
      <c r="T25" s="592">
        <v>0</v>
      </c>
      <c r="U25" s="592">
        <v>8316.8268929371097</v>
      </c>
      <c r="V25" s="592">
        <v>0</v>
      </c>
      <c r="W25" s="592">
        <v>0</v>
      </c>
      <c r="X25" s="592">
        <v>0</v>
      </c>
      <c r="Y25" s="592">
        <v>0</v>
      </c>
      <c r="Z25" s="592">
        <v>0</v>
      </c>
      <c r="AA25" s="592">
        <v>880917.08617073705</v>
      </c>
      <c r="AB25" s="592">
        <v>0</v>
      </c>
      <c r="AC25" s="592">
        <v>603851.82443129795</v>
      </c>
      <c r="AD25" s="592">
        <v>0</v>
      </c>
      <c r="AE25" s="592">
        <v>-161462.742045819</v>
      </c>
      <c r="AF25" s="592">
        <v>20678704.271699902</v>
      </c>
      <c r="AG25" s="592">
        <v>13264785.069410101</v>
      </c>
      <c r="AH25" s="592">
        <v>44713.488369122999</v>
      </c>
      <c r="AI25" s="592">
        <v>24592.418603017599</v>
      </c>
      <c r="AJ25" s="460">
        <v>1.0381657519096199</v>
      </c>
      <c r="AK25" s="460">
        <v>0.16312909252604299</v>
      </c>
      <c r="AL25" s="460">
        <v>8.4867739881854504E-2</v>
      </c>
      <c r="AM25" s="460">
        <v>0.13879963409527801</v>
      </c>
      <c r="AN25" s="460">
        <v>6.0538281451088999E-2</v>
      </c>
      <c r="AO25" s="460">
        <v>0.29780963239562003</v>
      </c>
      <c r="AP25" s="460">
        <v>-4.9500722189138098E-2</v>
      </c>
      <c r="AQ25" s="460">
        <v>2.8760630455050801E-2</v>
      </c>
      <c r="AR25" s="460">
        <v>-2.5171263758372499E-2</v>
      </c>
      <c r="AS25" s="460">
        <v>5.30900888858164E-2</v>
      </c>
      <c r="AT25" s="460">
        <v>-0.452263412026292</v>
      </c>
      <c r="AU25" s="460">
        <v>0.262771537189466</v>
      </c>
      <c r="AV25" s="460">
        <v>-0.22997728374300999</v>
      </c>
      <c r="AW25" s="460">
        <v>0.48505766547274798</v>
      </c>
      <c r="AX25" s="460">
        <v>-0.18418126205871499</v>
      </c>
      <c r="AY25" s="460">
        <v>-1.6827723379813899</v>
      </c>
    </row>
    <row r="26" spans="1:51" x14ac:dyDescent="0.2">
      <c r="A26" s="588" t="s">
        <v>405</v>
      </c>
      <c r="B26" s="588" t="s">
        <v>231</v>
      </c>
      <c r="C26" s="588" t="s">
        <v>62</v>
      </c>
      <c r="D26" s="588">
        <v>807013.3</v>
      </c>
      <c r="E26" s="588">
        <v>34.873739999999998</v>
      </c>
      <c r="F26" s="589">
        <v>0.60661825029502103</v>
      </c>
      <c r="G26" s="589">
        <v>0.73693931643398602</v>
      </c>
      <c r="H26" s="588">
        <v>0</v>
      </c>
      <c r="I26" s="588">
        <v>401881.26129843201</v>
      </c>
      <c r="J26" s="588">
        <v>662494.51133885595</v>
      </c>
      <c r="K26" s="588">
        <v>545338.33700597798</v>
      </c>
      <c r="L26" s="460">
        <v>394791.440351322</v>
      </c>
      <c r="M26" s="460">
        <v>162398.39999999999</v>
      </c>
      <c r="N26" s="460">
        <v>557189.84035132197</v>
      </c>
      <c r="O26" s="588">
        <v>58640.348103955199</v>
      </c>
      <c r="P26" s="588">
        <v>24111.459872879899</v>
      </c>
      <c r="Q26" s="588">
        <v>0</v>
      </c>
      <c r="R26" s="588">
        <v>295402.75527099503</v>
      </c>
      <c r="S26" s="592">
        <v>0</v>
      </c>
      <c r="T26" s="592">
        <v>0</v>
      </c>
      <c r="U26" s="592">
        <v>16636.877103491901</v>
      </c>
      <c r="V26" s="592">
        <v>0</v>
      </c>
      <c r="W26" s="592">
        <v>0</v>
      </c>
      <c r="X26" s="592">
        <v>0</v>
      </c>
      <c r="Y26" s="592">
        <v>0</v>
      </c>
      <c r="Z26" s="592">
        <v>0</v>
      </c>
      <c r="AA26" s="592">
        <v>162398.39999999999</v>
      </c>
      <c r="AB26" s="592">
        <v>0</v>
      </c>
      <c r="AC26" s="592">
        <v>342998.57499420398</v>
      </c>
      <c r="AD26" s="592">
        <v>0</v>
      </c>
      <c r="AE26" s="592">
        <v>109229.13109517501</v>
      </c>
      <c r="AF26" s="592">
        <v>5618618.5768848602</v>
      </c>
      <c r="AG26" s="592">
        <v>3820793.6152871</v>
      </c>
      <c r="AH26" s="592">
        <v>0</v>
      </c>
      <c r="AI26" s="592">
        <v>0</v>
      </c>
      <c r="AJ26" s="460">
        <v>0</v>
      </c>
      <c r="AK26" s="460">
        <v>0.17339185992360301</v>
      </c>
      <c r="AL26" s="460">
        <v>7.0064781807749693E-2</v>
      </c>
      <c r="AM26" s="460">
        <v>0.14272907461530099</v>
      </c>
      <c r="AN26" s="460">
        <v>3.9401996499447998E-2</v>
      </c>
      <c r="AO26" s="460">
        <v>0.30159420720799701</v>
      </c>
      <c r="AP26" s="460">
        <v>-6.8209193241347499E-2</v>
      </c>
      <c r="AQ26" s="460">
        <v>3.5117884874505498E-2</v>
      </c>
      <c r="AR26" s="460">
        <v>-3.75464079330457E-2</v>
      </c>
      <c r="AS26" s="460">
        <v>6.5780670182807199E-2</v>
      </c>
      <c r="AT26" s="460">
        <v>0</v>
      </c>
      <c r="AU26" s="460">
        <v>0</v>
      </c>
      <c r="AV26" s="460">
        <v>0</v>
      </c>
      <c r="AW26" s="460">
        <v>0</v>
      </c>
      <c r="AX26" s="460">
        <v>-0.196411540525741</v>
      </c>
      <c r="AY26" s="460">
        <v>0</v>
      </c>
    </row>
    <row r="27" spans="1:51" x14ac:dyDescent="0.2">
      <c r="A27" s="588" t="s">
        <v>399</v>
      </c>
      <c r="B27" s="588" t="s">
        <v>231</v>
      </c>
      <c r="C27" s="588" t="s">
        <v>63</v>
      </c>
      <c r="D27" s="588">
        <v>246139.20068050001</v>
      </c>
      <c r="E27" s="588">
        <v>229.34277585714301</v>
      </c>
      <c r="F27" s="589">
        <v>0.16243693213162599</v>
      </c>
      <c r="G27" s="589">
        <v>0.167241330289397</v>
      </c>
      <c r="H27" s="588">
        <v>0</v>
      </c>
      <c r="I27" s="588">
        <v>72968.078553040294</v>
      </c>
      <c r="J27" s="588">
        <v>449208.67191651103</v>
      </c>
      <c r="K27" s="588">
        <v>436304.102740484</v>
      </c>
      <c r="L27" s="460">
        <v>389733.75984429999</v>
      </c>
      <c r="M27" s="460">
        <v>50236.5</v>
      </c>
      <c r="N27" s="460">
        <v>439970.25984429999</v>
      </c>
      <c r="O27" s="588">
        <v>36424.588192973999</v>
      </c>
      <c r="P27" s="588">
        <v>18934.993256727299</v>
      </c>
      <c r="Q27" s="588">
        <v>0</v>
      </c>
      <c r="R27" s="588">
        <v>326055.73984285299</v>
      </c>
      <c r="S27" s="592">
        <v>0</v>
      </c>
      <c r="T27" s="592">
        <v>0</v>
      </c>
      <c r="U27" s="592">
        <v>8318.4385517459596</v>
      </c>
      <c r="V27" s="592">
        <v>0</v>
      </c>
      <c r="W27" s="592">
        <v>0</v>
      </c>
      <c r="X27" s="592">
        <v>0</v>
      </c>
      <c r="Y27" s="592">
        <v>0</v>
      </c>
      <c r="Z27" s="592">
        <v>0</v>
      </c>
      <c r="AA27" s="592">
        <v>50236.5</v>
      </c>
      <c r="AB27" s="592">
        <v>0</v>
      </c>
      <c r="AC27" s="592">
        <v>67788.238702777395</v>
      </c>
      <c r="AD27" s="592">
        <v>0</v>
      </c>
      <c r="AE27" s="592">
        <v>10531.043640132501</v>
      </c>
      <c r="AF27" s="592">
        <v>999411.55647467403</v>
      </c>
      <c r="AG27" s="592">
        <v>649617.53553636605</v>
      </c>
      <c r="AH27" s="592">
        <v>0</v>
      </c>
      <c r="AI27" s="592">
        <v>0</v>
      </c>
      <c r="AJ27" s="460">
        <v>0</v>
      </c>
      <c r="AK27" s="460">
        <v>0.69149714615633895</v>
      </c>
      <c r="AL27" s="460">
        <v>9.1553735573200498E-2</v>
      </c>
      <c r="AM27" s="460">
        <v>0.67163227418152005</v>
      </c>
      <c r="AN27" s="460">
        <v>7.1688863598382099E-2</v>
      </c>
      <c r="AO27" s="460">
        <v>0.82643260864946599</v>
      </c>
      <c r="AP27" s="460">
        <v>-0.57917247115692805</v>
      </c>
      <c r="AQ27" s="460">
        <v>2.0770939426209899E-2</v>
      </c>
      <c r="AR27" s="460">
        <v>-0.55930759918211004</v>
      </c>
      <c r="AS27" s="460">
        <v>4.0635811401028302E-2</v>
      </c>
      <c r="AT27" s="460">
        <v>0</v>
      </c>
      <c r="AU27" s="460">
        <v>0</v>
      </c>
      <c r="AV27" s="460">
        <v>0</v>
      </c>
      <c r="AW27" s="460">
        <v>0</v>
      </c>
      <c r="AX27" s="460">
        <v>-0.71410793365005598</v>
      </c>
      <c r="AY27" s="460">
        <v>0</v>
      </c>
    </row>
    <row r="28" spans="1:51" x14ac:dyDescent="0.2">
      <c r="A28" s="588" t="s">
        <v>400</v>
      </c>
      <c r="B28" s="588" t="s">
        <v>231</v>
      </c>
      <c r="C28" s="588" t="s">
        <v>64</v>
      </c>
      <c r="D28" s="588">
        <v>10926.5</v>
      </c>
      <c r="E28" s="588">
        <v>1.0660000000000001</v>
      </c>
      <c r="F28" s="589">
        <v>3.7366065823080101E-2</v>
      </c>
      <c r="G28" s="589">
        <v>3.7850154338355799E-2</v>
      </c>
      <c r="H28" s="588">
        <v>0</v>
      </c>
      <c r="I28" s="588">
        <v>4596.3938286086404</v>
      </c>
      <c r="J28" s="588">
        <v>123009.841345662</v>
      </c>
      <c r="K28" s="588">
        <v>121436.594089416</v>
      </c>
      <c r="L28" s="460">
        <v>118929.926483367</v>
      </c>
      <c r="M28" s="460">
        <v>2704</v>
      </c>
      <c r="N28" s="460">
        <v>121633.926483367</v>
      </c>
      <c r="O28" s="588">
        <v>8133.7170147412298</v>
      </c>
      <c r="P28" s="588">
        <v>21574.062915004899</v>
      </c>
      <c r="Q28" s="588">
        <v>1832.64446221154</v>
      </c>
      <c r="R28" s="588">
        <v>72416.312698266105</v>
      </c>
      <c r="S28" s="592">
        <v>0</v>
      </c>
      <c r="T28" s="592">
        <v>0</v>
      </c>
      <c r="U28" s="592">
        <v>14973.1893931427</v>
      </c>
      <c r="V28" s="592">
        <v>0</v>
      </c>
      <c r="W28" s="592">
        <v>0</v>
      </c>
      <c r="X28" s="592">
        <v>0</v>
      </c>
      <c r="Y28" s="592">
        <v>0</v>
      </c>
      <c r="Z28" s="592">
        <v>0</v>
      </c>
      <c r="AA28" s="592">
        <v>2704</v>
      </c>
      <c r="AB28" s="592">
        <v>0</v>
      </c>
      <c r="AC28" s="592">
        <v>5106.92</v>
      </c>
      <c r="AD28" s="592">
        <v>0</v>
      </c>
      <c r="AE28" s="592">
        <v>1441.752</v>
      </c>
      <c r="AF28" s="592">
        <v>83684.520395842701</v>
      </c>
      <c r="AG28" s="592">
        <v>54394.938257297799</v>
      </c>
      <c r="AH28" s="592">
        <v>0</v>
      </c>
      <c r="AI28" s="592">
        <v>0</v>
      </c>
      <c r="AJ28" s="460">
        <v>0</v>
      </c>
      <c r="AK28" s="460">
        <v>2.2614207366833199</v>
      </c>
      <c r="AL28" s="460">
        <v>7.5005413977984201E-2</v>
      </c>
      <c r="AM28" s="460">
        <v>2.2324980591943802</v>
      </c>
      <c r="AN28" s="460">
        <v>4.60827364890464E-2</v>
      </c>
      <c r="AO28" s="460">
        <v>2.3911704182889002</v>
      </c>
      <c r="AP28" s="460">
        <v>-2.17692034058273</v>
      </c>
      <c r="AQ28" s="460">
        <v>9.4949821226029494E-3</v>
      </c>
      <c r="AR28" s="460">
        <v>-2.1479976630937898</v>
      </c>
      <c r="AS28" s="460">
        <v>3.84176596115407E-2</v>
      </c>
      <c r="AT28" s="460">
        <v>0</v>
      </c>
      <c r="AU28" s="460">
        <v>0</v>
      </c>
      <c r="AV28" s="460">
        <v>0</v>
      </c>
      <c r="AW28" s="460">
        <v>0</v>
      </c>
      <c r="AX28" s="460">
        <v>-2.3066700221883099</v>
      </c>
      <c r="AY28" s="460">
        <v>0</v>
      </c>
    </row>
    <row r="29" spans="1:51" x14ac:dyDescent="0.2">
      <c r="A29" s="588" t="s">
        <v>401</v>
      </c>
      <c r="B29" s="588" t="s">
        <v>231</v>
      </c>
      <c r="C29" s="588" t="s">
        <v>65</v>
      </c>
      <c r="D29" s="588">
        <v>246518.84578599999</v>
      </c>
      <c r="E29" s="588">
        <v>70.222099</v>
      </c>
      <c r="F29" s="589">
        <v>0.55363176690482796</v>
      </c>
      <c r="G29" s="589">
        <v>0.561439278438435</v>
      </c>
      <c r="H29" s="588">
        <v>0</v>
      </c>
      <c r="I29" s="588">
        <v>175671.26653665901</v>
      </c>
      <c r="J29" s="588">
        <v>317307.05685256899</v>
      </c>
      <c r="K29" s="588">
        <v>312894.50753296702</v>
      </c>
      <c r="L29" s="460">
        <v>247083.64994450301</v>
      </c>
      <c r="M29" s="460">
        <v>70991.685730400204</v>
      </c>
      <c r="N29" s="460">
        <v>318075.33567490301</v>
      </c>
      <c r="O29" s="588">
        <v>19586.2394354629</v>
      </c>
      <c r="P29" s="588">
        <v>24165.390609615199</v>
      </c>
      <c r="Q29" s="588">
        <v>518.48837987835304</v>
      </c>
      <c r="R29" s="588">
        <v>190335.87369192799</v>
      </c>
      <c r="S29" s="592">
        <v>0</v>
      </c>
      <c r="T29" s="592">
        <v>0</v>
      </c>
      <c r="U29" s="592">
        <v>12477.657827618899</v>
      </c>
      <c r="V29" s="592">
        <v>0</v>
      </c>
      <c r="W29" s="592">
        <v>0</v>
      </c>
      <c r="X29" s="592">
        <v>0</v>
      </c>
      <c r="Y29" s="592">
        <v>0</v>
      </c>
      <c r="Z29" s="592">
        <v>0</v>
      </c>
      <c r="AA29" s="592">
        <v>70991.685730400204</v>
      </c>
      <c r="AB29" s="592">
        <v>0</v>
      </c>
      <c r="AC29" s="592">
        <v>72853.738289976696</v>
      </c>
      <c r="AD29" s="592">
        <v>0</v>
      </c>
      <c r="AE29" s="592">
        <v>1117.2315251904499</v>
      </c>
      <c r="AF29" s="592">
        <v>1992442.2154250699</v>
      </c>
      <c r="AG29" s="592">
        <v>1295087.4685699099</v>
      </c>
      <c r="AH29" s="592">
        <v>0</v>
      </c>
      <c r="AI29" s="592">
        <v>0</v>
      </c>
      <c r="AJ29" s="460">
        <v>0</v>
      </c>
      <c r="AK29" s="460">
        <v>0.245008205664249</v>
      </c>
      <c r="AL29" s="460">
        <v>5.4222906647077102E-2</v>
      </c>
      <c r="AM29" s="460">
        <v>0.24160106180200899</v>
      </c>
      <c r="AN29" s="460">
        <v>5.08157627848368E-2</v>
      </c>
      <c r="AO29" s="460">
        <v>0.403353984861332</v>
      </c>
      <c r="AP29" s="460">
        <v>-0.10936387985616899</v>
      </c>
      <c r="AQ29" s="460">
        <v>8.1421419161002595E-2</v>
      </c>
      <c r="AR29" s="460">
        <v>-0.105956735993929</v>
      </c>
      <c r="AS29" s="460">
        <v>8.4828563023242806E-2</v>
      </c>
      <c r="AT29" s="460">
        <v>0</v>
      </c>
      <c r="AU29" s="460">
        <v>0</v>
      </c>
      <c r="AV29" s="460">
        <v>0</v>
      </c>
      <c r="AW29" s="460">
        <v>0</v>
      </c>
      <c r="AX29" s="460">
        <v>-0.267709659053252</v>
      </c>
      <c r="AY29" s="460">
        <v>0</v>
      </c>
    </row>
    <row r="30" spans="1:51" x14ac:dyDescent="0.2">
      <c r="A30" s="588" t="s">
        <v>406</v>
      </c>
      <c r="B30" s="588" t="s">
        <v>231</v>
      </c>
      <c r="C30" s="588" t="s">
        <v>66</v>
      </c>
      <c r="D30" s="588">
        <v>776330.77616000001</v>
      </c>
      <c r="E30" s="588">
        <v>174.63548591950001</v>
      </c>
      <c r="F30" s="589">
        <v>0.486607025979444</v>
      </c>
      <c r="G30" s="589">
        <v>0.54352389988966698</v>
      </c>
      <c r="H30" s="588">
        <v>0</v>
      </c>
      <c r="I30" s="588">
        <v>296880.22784677701</v>
      </c>
      <c r="J30" s="588">
        <v>610102.63312416303</v>
      </c>
      <c r="K30" s="588">
        <v>546213.75050304504</v>
      </c>
      <c r="L30" s="460">
        <v>402402.76288156997</v>
      </c>
      <c r="M30" s="460">
        <v>155132.22</v>
      </c>
      <c r="N30" s="460">
        <v>557534.98288157</v>
      </c>
      <c r="O30" s="588">
        <v>37227.881771307599</v>
      </c>
      <c r="P30" s="588">
        <v>41630.108207476304</v>
      </c>
      <c r="Q30" s="588">
        <v>0</v>
      </c>
      <c r="R30" s="588">
        <v>323544.77290278598</v>
      </c>
      <c r="S30" s="592">
        <v>0</v>
      </c>
      <c r="T30" s="592">
        <v>0</v>
      </c>
      <c r="U30" s="592">
        <v>0</v>
      </c>
      <c r="V30" s="592">
        <v>0</v>
      </c>
      <c r="W30" s="592">
        <v>0</v>
      </c>
      <c r="X30" s="592">
        <v>0</v>
      </c>
      <c r="Y30" s="592">
        <v>0</v>
      </c>
      <c r="Z30" s="592">
        <v>0</v>
      </c>
      <c r="AA30" s="592">
        <v>155132.22</v>
      </c>
      <c r="AB30" s="592">
        <v>0</v>
      </c>
      <c r="AC30" s="592">
        <v>242642.890984831</v>
      </c>
      <c r="AD30" s="592">
        <v>0</v>
      </c>
      <c r="AE30" s="592">
        <v>56786.262578458998</v>
      </c>
      <c r="AF30" s="592">
        <v>3199077.2116376301</v>
      </c>
      <c r="AG30" s="592">
        <v>2177169.3141941698</v>
      </c>
      <c r="AH30" s="592">
        <v>0</v>
      </c>
      <c r="AI30" s="592">
        <v>0</v>
      </c>
      <c r="AJ30" s="460">
        <v>0</v>
      </c>
      <c r="AK30" s="460">
        <v>0.28022746285581301</v>
      </c>
      <c r="AL30" s="460">
        <v>9.5399043560132096E-2</v>
      </c>
      <c r="AM30" s="460">
        <v>0.25088253216779</v>
      </c>
      <c r="AN30" s="460">
        <v>6.60541128721093E-2</v>
      </c>
      <c r="AO30" s="460">
        <v>0.40334462480037198</v>
      </c>
      <c r="AP30" s="460">
        <v>-0.143866810557781</v>
      </c>
      <c r="AQ30" s="460">
        <v>4.0961608737900002E-2</v>
      </c>
      <c r="AR30" s="460">
        <v>-0.11452187986975799</v>
      </c>
      <c r="AS30" s="460">
        <v>7.0306539425922895E-2</v>
      </c>
      <c r="AT30" s="460">
        <v>0</v>
      </c>
      <c r="AU30" s="460">
        <v>0</v>
      </c>
      <c r="AV30" s="460">
        <v>0</v>
      </c>
      <c r="AW30" s="460">
        <v>0</v>
      </c>
      <c r="AX30" s="460">
        <v>-0.26698397250234002</v>
      </c>
      <c r="AY30" s="460">
        <v>0</v>
      </c>
    </row>
    <row r="31" spans="1:51" x14ac:dyDescent="0.2">
      <c r="A31" s="588" t="s">
        <v>407</v>
      </c>
      <c r="B31" s="588" t="s">
        <v>231</v>
      </c>
      <c r="C31" s="588" t="s">
        <v>200</v>
      </c>
      <c r="D31" s="588">
        <v>5166025</v>
      </c>
      <c r="E31" s="588">
        <v>662.51816689389898</v>
      </c>
      <c r="F31" s="589">
        <v>1.31119809797883</v>
      </c>
      <c r="G31" s="589">
        <v>1.56349575350531</v>
      </c>
      <c r="H31" s="588">
        <v>0</v>
      </c>
      <c r="I31" s="588">
        <v>3712689.1396979801</v>
      </c>
      <c r="J31" s="588">
        <v>2831524.1956352498</v>
      </c>
      <c r="K31" s="588">
        <v>2374607.7540500201</v>
      </c>
      <c r="L31" s="460">
        <v>1175467.6847049401</v>
      </c>
      <c r="M31" s="460">
        <v>1293539.9730241301</v>
      </c>
      <c r="N31" s="460">
        <v>2469007.6577290702</v>
      </c>
      <c r="O31" s="588">
        <v>136692.84607099</v>
      </c>
      <c r="P31" s="588">
        <v>0</v>
      </c>
      <c r="Q31" s="588">
        <v>54348.886779701599</v>
      </c>
      <c r="R31" s="588">
        <v>984425.95185425202</v>
      </c>
      <c r="S31" s="592">
        <v>0</v>
      </c>
      <c r="T31" s="592">
        <v>0</v>
      </c>
      <c r="U31" s="592">
        <v>0</v>
      </c>
      <c r="V31" s="592">
        <v>0</v>
      </c>
      <c r="W31" s="592">
        <v>0</v>
      </c>
      <c r="X31" s="592">
        <v>0</v>
      </c>
      <c r="Y31" s="592">
        <v>0</v>
      </c>
      <c r="Z31" s="592">
        <v>0</v>
      </c>
      <c r="AA31" s="592">
        <v>1293539.9730241301</v>
      </c>
      <c r="AB31" s="592">
        <v>0</v>
      </c>
      <c r="AC31" s="592">
        <v>1954678.6796623699</v>
      </c>
      <c r="AD31" s="592">
        <v>0</v>
      </c>
      <c r="AE31" s="592">
        <v>395152.34063302597</v>
      </c>
      <c r="AF31" s="592">
        <v>39940779.1865438</v>
      </c>
      <c r="AG31" s="592">
        <v>25361087.223205902</v>
      </c>
      <c r="AH31" s="592">
        <v>0</v>
      </c>
      <c r="AI31" s="592">
        <v>0</v>
      </c>
      <c r="AJ31" s="460">
        <v>0</v>
      </c>
      <c r="AK31" s="460">
        <v>0.11164837574646</v>
      </c>
      <c r="AL31" s="460">
        <v>6.5299113415570806E-2</v>
      </c>
      <c r="AM31" s="460">
        <v>9.3631938297866202E-2</v>
      </c>
      <c r="AN31" s="460">
        <v>4.7282675966976599E-2</v>
      </c>
      <c r="AO31" s="460">
        <v>0.258343850154095</v>
      </c>
      <c r="AP31" s="460">
        <v>3.4744762174724303E-2</v>
      </c>
      <c r="AQ31" s="460">
        <v>8.1094024505613899E-2</v>
      </c>
      <c r="AR31" s="460">
        <v>5.2761199623318399E-2</v>
      </c>
      <c r="AS31" s="460">
        <v>9.9110461954208001E-2</v>
      </c>
      <c r="AT31" s="460">
        <v>0</v>
      </c>
      <c r="AU31" s="460">
        <v>0</v>
      </c>
      <c r="AV31" s="460">
        <v>0</v>
      </c>
      <c r="AW31" s="460">
        <v>0</v>
      </c>
      <c r="AX31" s="460">
        <v>-0.11195071223291</v>
      </c>
      <c r="AY31" s="460">
        <v>0</v>
      </c>
    </row>
    <row r="32" spans="1:51" x14ac:dyDescent="0.2">
      <c r="A32" s="588" t="s">
        <v>542</v>
      </c>
      <c r="B32" s="588" t="s">
        <v>543</v>
      </c>
      <c r="C32" s="588" t="s">
        <v>544</v>
      </c>
      <c r="D32" s="588">
        <v>0</v>
      </c>
      <c r="E32" s="588">
        <v>0</v>
      </c>
      <c r="F32" s="589">
        <v>0</v>
      </c>
      <c r="G32" s="589">
        <v>0</v>
      </c>
      <c r="H32" s="588">
        <v>0</v>
      </c>
      <c r="I32" s="588">
        <v>0</v>
      </c>
      <c r="J32" s="588">
        <v>17600000</v>
      </c>
      <c r="K32" s="588">
        <v>17600000</v>
      </c>
      <c r="L32" s="460">
        <v>17600000</v>
      </c>
      <c r="M32" s="460">
        <v>0</v>
      </c>
      <c r="N32" s="460">
        <v>17600000</v>
      </c>
      <c r="O32" s="588">
        <v>0</v>
      </c>
      <c r="P32" s="588">
        <v>0</v>
      </c>
      <c r="Q32" s="588">
        <v>0</v>
      </c>
      <c r="R32" s="588">
        <v>17600000</v>
      </c>
      <c r="S32" s="592">
        <v>0</v>
      </c>
      <c r="T32" s="592">
        <v>0</v>
      </c>
      <c r="U32" s="592">
        <v>0</v>
      </c>
      <c r="V32" s="592">
        <v>0</v>
      </c>
      <c r="W32" s="592">
        <v>0</v>
      </c>
      <c r="X32" s="592">
        <v>0</v>
      </c>
      <c r="Y32" s="592">
        <v>0</v>
      </c>
      <c r="Z32" s="592">
        <v>0</v>
      </c>
      <c r="AA32" s="592">
        <v>0</v>
      </c>
      <c r="AB32" s="592">
        <v>0</v>
      </c>
      <c r="AC32" s="592">
        <v>0</v>
      </c>
      <c r="AD32" s="592">
        <v>0</v>
      </c>
      <c r="AE32" s="592">
        <v>0</v>
      </c>
      <c r="AF32" s="592">
        <v>0</v>
      </c>
      <c r="AG32" s="592">
        <v>0</v>
      </c>
      <c r="AH32" s="592">
        <v>0</v>
      </c>
      <c r="AI32" s="592">
        <v>0</v>
      </c>
      <c r="AJ32" s="460">
        <v>0</v>
      </c>
      <c r="AK32" s="460">
        <v>0</v>
      </c>
      <c r="AL32" s="460">
        <v>0</v>
      </c>
      <c r="AM32" s="460">
        <v>0</v>
      </c>
      <c r="AN32" s="460">
        <v>0</v>
      </c>
      <c r="AO32" s="460">
        <v>0</v>
      </c>
      <c r="AP32" s="460">
        <v>0</v>
      </c>
      <c r="AQ32" s="460">
        <v>0</v>
      </c>
      <c r="AR32" s="460">
        <v>0</v>
      </c>
      <c r="AS32" s="460">
        <v>0</v>
      </c>
      <c r="AT32" s="460">
        <v>0</v>
      </c>
      <c r="AU32" s="460">
        <v>0</v>
      </c>
      <c r="AV32" s="460">
        <v>0</v>
      </c>
      <c r="AW32" s="460">
        <v>0</v>
      </c>
      <c r="AX32" s="460">
        <v>0</v>
      </c>
      <c r="AY32" s="460">
        <v>0</v>
      </c>
    </row>
    <row r="33" spans="1:51" x14ac:dyDescent="0.2">
      <c r="A33" s="588" t="s">
        <v>275</v>
      </c>
      <c r="B33" s="588" t="s">
        <v>228</v>
      </c>
      <c r="C33" s="588" t="s">
        <v>1</v>
      </c>
      <c r="D33" s="588">
        <v>66786000</v>
      </c>
      <c r="E33" s="588">
        <v>29200</v>
      </c>
      <c r="F33" s="589">
        <v>0.69633198970183596</v>
      </c>
      <c r="G33" s="589">
        <v>0.699589643924172</v>
      </c>
      <c r="H33" s="588">
        <v>0</v>
      </c>
      <c r="I33" s="588">
        <v>6931301.6521019395</v>
      </c>
      <c r="J33" s="588">
        <v>9954018.7074700799</v>
      </c>
      <c r="K33" s="588">
        <v>9907667.6052872203</v>
      </c>
      <c r="L33" s="460">
        <v>8980645.5616300497</v>
      </c>
      <c r="M33" s="460">
        <v>1000000</v>
      </c>
      <c r="N33" s="460">
        <v>9980645.5616300497</v>
      </c>
      <c r="O33" s="588">
        <v>364246.15376777097</v>
      </c>
      <c r="P33" s="588">
        <v>43728.967884799997</v>
      </c>
      <c r="Q33" s="588">
        <v>812346.93029580999</v>
      </c>
      <c r="R33" s="588">
        <v>7760323.50968167</v>
      </c>
      <c r="S33" s="592">
        <v>0</v>
      </c>
      <c r="T33" s="592">
        <v>0</v>
      </c>
      <c r="U33" s="592">
        <v>0</v>
      </c>
      <c r="V33" s="592">
        <v>0</v>
      </c>
      <c r="W33" s="592">
        <v>0</v>
      </c>
      <c r="X33" s="592">
        <v>0</v>
      </c>
      <c r="Y33" s="592">
        <v>1000000</v>
      </c>
      <c r="Z33" s="592">
        <v>0</v>
      </c>
      <c r="AA33" s="592">
        <v>0</v>
      </c>
      <c r="AB33" s="592">
        <v>0</v>
      </c>
      <c r="AC33" s="592">
        <v>500000</v>
      </c>
      <c r="AD33" s="592">
        <v>500000</v>
      </c>
      <c r="AE33" s="592">
        <v>0</v>
      </c>
      <c r="AF33" s="592">
        <v>79503044.394393399</v>
      </c>
      <c r="AG33" s="592">
        <v>71144545.807777599</v>
      </c>
      <c r="AH33" s="592">
        <v>0</v>
      </c>
      <c r="AI33" s="592">
        <v>0</v>
      </c>
      <c r="AJ33" s="460">
        <v>0</v>
      </c>
      <c r="AK33" s="460">
        <v>0.13991260460590199</v>
      </c>
      <c r="AL33" s="460">
        <v>1.36816270985825E-2</v>
      </c>
      <c r="AM33" s="460">
        <v>0.13926109855358901</v>
      </c>
      <c r="AN33" s="460">
        <v>1.30301210462691E-2</v>
      </c>
      <c r="AO33" s="460">
        <v>0.28614035054262399</v>
      </c>
      <c r="AP33" s="460">
        <v>-4.2486982256308002E-2</v>
      </c>
      <c r="AQ33" s="460">
        <v>8.3743995251011602E-2</v>
      </c>
      <c r="AR33" s="460">
        <v>-4.1835476203994602E-2</v>
      </c>
      <c r="AS33" s="460">
        <v>8.4395501303325099E-2</v>
      </c>
      <c r="AT33" s="460">
        <v>0</v>
      </c>
      <c r="AU33" s="460">
        <v>0</v>
      </c>
      <c r="AV33" s="460">
        <v>0</v>
      </c>
      <c r="AW33" s="460">
        <v>0</v>
      </c>
      <c r="AX33" s="460">
        <v>-0.18871472819303001</v>
      </c>
      <c r="AY33" s="460">
        <v>0</v>
      </c>
    </row>
    <row r="34" spans="1:51" x14ac:dyDescent="0.2">
      <c r="A34" s="588" t="s">
        <v>279</v>
      </c>
      <c r="B34" s="588" t="s">
        <v>228</v>
      </c>
      <c r="C34" s="588" t="s">
        <v>3</v>
      </c>
      <c r="D34" s="588">
        <v>19670593.970362298</v>
      </c>
      <c r="E34" s="588">
        <v>8636.8568254682705</v>
      </c>
      <c r="F34" s="589">
        <v>0.69098680969825799</v>
      </c>
      <c r="G34" s="589">
        <v>1.0199768138691401</v>
      </c>
      <c r="H34" s="588">
        <v>-63876.817650594203</v>
      </c>
      <c r="I34" s="588">
        <v>6555975.2911899202</v>
      </c>
      <c r="J34" s="588">
        <v>9395401.4496663306</v>
      </c>
      <c r="K34" s="588">
        <v>6364947.1098391702</v>
      </c>
      <c r="L34" s="460">
        <v>2214020.50495543</v>
      </c>
      <c r="M34" s="460">
        <v>4477700</v>
      </c>
      <c r="N34" s="460">
        <v>6691720.5049554296</v>
      </c>
      <c r="O34" s="588">
        <v>235876.25802355999</v>
      </c>
      <c r="P34" s="588">
        <v>69882.718371840005</v>
      </c>
      <c r="Q34" s="588">
        <v>707369.69411846797</v>
      </c>
      <c r="R34" s="588">
        <v>700891.83444156498</v>
      </c>
      <c r="S34" s="592">
        <v>0</v>
      </c>
      <c r="T34" s="592">
        <v>0</v>
      </c>
      <c r="U34" s="592">
        <v>500000</v>
      </c>
      <c r="V34" s="592">
        <v>0</v>
      </c>
      <c r="W34" s="592">
        <v>0</v>
      </c>
      <c r="X34" s="592">
        <v>0</v>
      </c>
      <c r="Y34" s="592">
        <v>0</v>
      </c>
      <c r="Z34" s="592">
        <v>0</v>
      </c>
      <c r="AA34" s="592">
        <v>3577700</v>
      </c>
      <c r="AB34" s="592">
        <v>900000</v>
      </c>
      <c r="AC34" s="592">
        <v>5953034.5300000003</v>
      </c>
      <c r="AD34" s="592">
        <v>900000</v>
      </c>
      <c r="AE34" s="592">
        <v>1435286.35864757</v>
      </c>
      <c r="AF34" s="592">
        <v>103863770.95350499</v>
      </c>
      <c r="AG34" s="592">
        <v>61724208.365170397</v>
      </c>
      <c r="AH34" s="592">
        <v>-87451.125149676503</v>
      </c>
      <c r="AI34" s="592">
        <v>-63787.215760562402</v>
      </c>
      <c r="AJ34" s="460">
        <v>1.00140469981271</v>
      </c>
      <c r="AK34" s="460">
        <v>0.15371350384195301</v>
      </c>
      <c r="AL34" s="460">
        <v>0.117491012315876</v>
      </c>
      <c r="AM34" s="460">
        <v>0.10413374322146</v>
      </c>
      <c r="AN34" s="460">
        <v>6.7911251695383298E-2</v>
      </c>
      <c r="AO34" s="460">
        <v>0.25958722347548602</v>
      </c>
      <c r="AP34" s="460">
        <v>-4.7499500214660803E-2</v>
      </c>
      <c r="AQ34" s="460">
        <v>-1.1277008688584E-2</v>
      </c>
      <c r="AR34" s="460">
        <v>2.0802604058316201E-3</v>
      </c>
      <c r="AS34" s="460">
        <v>3.8302751931908498E-2</v>
      </c>
      <c r="AT34" s="460">
        <v>-0.44783381785162302</v>
      </c>
      <c r="AU34" s="460">
        <v>-0.10632166300974701</v>
      </c>
      <c r="AV34" s="460">
        <v>1.9613068673541401E-2</v>
      </c>
      <c r="AW34" s="460">
        <v>0.36112522351541798</v>
      </c>
      <c r="AX34" s="460">
        <v>-0.15337321984819499</v>
      </c>
      <c r="AY34" s="460">
        <v>-1.44603025906393</v>
      </c>
    </row>
    <row r="35" spans="1:51" x14ac:dyDescent="0.2">
      <c r="A35" s="588" t="s">
        <v>282</v>
      </c>
      <c r="B35" s="588" t="s">
        <v>228</v>
      </c>
      <c r="C35" s="588" t="s">
        <v>2</v>
      </c>
      <c r="D35" s="588">
        <v>5215219.8274678104</v>
      </c>
      <c r="E35" s="588">
        <v>943.52570154560794</v>
      </c>
      <c r="F35" s="589">
        <v>0.61378032305161601</v>
      </c>
      <c r="G35" s="589">
        <v>0.59914072576058497</v>
      </c>
      <c r="H35" s="588">
        <v>-27373.5719918666</v>
      </c>
      <c r="I35" s="588">
        <v>1779903.0577801899</v>
      </c>
      <c r="J35" s="588">
        <v>2855304.1209842502</v>
      </c>
      <c r="K35" s="588">
        <v>2925071.5406861301</v>
      </c>
      <c r="L35" s="460">
        <v>1819991.59975277</v>
      </c>
      <c r="M35" s="460">
        <v>1192075.14912345</v>
      </c>
      <c r="N35" s="460">
        <v>3012066.7488762201</v>
      </c>
      <c r="O35" s="588">
        <v>313601.21073283302</v>
      </c>
      <c r="P35" s="588">
        <v>67052.156272640103</v>
      </c>
      <c r="Q35" s="588">
        <v>126563.38740172</v>
      </c>
      <c r="R35" s="588">
        <v>648933.46276295302</v>
      </c>
      <c r="S35" s="592">
        <v>0</v>
      </c>
      <c r="T35" s="592">
        <v>0</v>
      </c>
      <c r="U35" s="592">
        <v>663841.38258262398</v>
      </c>
      <c r="V35" s="592">
        <v>0</v>
      </c>
      <c r="W35" s="592">
        <v>0</v>
      </c>
      <c r="X35" s="592">
        <v>0</v>
      </c>
      <c r="Y35" s="592">
        <v>58159.480224538202</v>
      </c>
      <c r="Z35" s="592">
        <v>126491.498124042</v>
      </c>
      <c r="AA35" s="592">
        <v>1007424.17077487</v>
      </c>
      <c r="AB35" s="592">
        <v>0</v>
      </c>
      <c r="AC35" s="592">
        <v>778738.04111796001</v>
      </c>
      <c r="AD35" s="592">
        <v>0</v>
      </c>
      <c r="AE35" s="592">
        <v>-216355.158168063</v>
      </c>
      <c r="AF35" s="592">
        <v>26057073.125065099</v>
      </c>
      <c r="AG35" s="592">
        <v>16641000.064971199</v>
      </c>
      <c r="AH35" s="592">
        <v>-44741.489962433203</v>
      </c>
      <c r="AI35" s="592">
        <v>-29055.654203301601</v>
      </c>
      <c r="AJ35" s="460">
        <v>0.94210826575559203</v>
      </c>
      <c r="AK35" s="460">
        <v>0.17426251011713401</v>
      </c>
      <c r="AL35" s="460">
        <v>6.3186319586617107E-2</v>
      </c>
      <c r="AM35" s="460">
        <v>0.178520496365357</v>
      </c>
      <c r="AN35" s="460">
        <v>6.7444305834840207E-2</v>
      </c>
      <c r="AO35" s="460">
        <v>0.33285183072625302</v>
      </c>
      <c r="AP35" s="460">
        <v>-6.7303610361653998E-2</v>
      </c>
      <c r="AQ35" s="460">
        <v>4.3772580168862797E-2</v>
      </c>
      <c r="AR35" s="460">
        <v>-7.1561596609877001E-2</v>
      </c>
      <c r="AS35" s="460">
        <v>3.9514593920639697E-2</v>
      </c>
      <c r="AT35" s="460">
        <v>-0.59281918364773201</v>
      </c>
      <c r="AU35" s="460">
        <v>0.385554728823993</v>
      </c>
      <c r="AV35" s="460">
        <v>-0.63032409487153096</v>
      </c>
      <c r="AW35" s="460">
        <v>0.34804981760019399</v>
      </c>
      <c r="AX35" s="460">
        <v>-0.22589293097077301</v>
      </c>
      <c r="AY35" s="460">
        <v>-1.98969508783125</v>
      </c>
    </row>
    <row r="36" spans="1:51" x14ac:dyDescent="0.2">
      <c r="A36" s="588" t="s">
        <v>285</v>
      </c>
      <c r="B36" s="588" t="s">
        <v>228</v>
      </c>
      <c r="C36" s="588" t="s">
        <v>8</v>
      </c>
      <c r="D36" s="588">
        <v>373451.80031999998</v>
      </c>
      <c r="E36" s="588">
        <v>465.83807999999999</v>
      </c>
      <c r="F36" s="589">
        <v>0.107167573914491</v>
      </c>
      <c r="G36" s="589">
        <v>0.156520720233713</v>
      </c>
      <c r="H36" s="588">
        <v>85857.7204971826</v>
      </c>
      <c r="I36" s="588">
        <v>473734.72924412403</v>
      </c>
      <c r="J36" s="588">
        <v>5221658.2805896597</v>
      </c>
      <c r="K36" s="588">
        <v>3575197.2576265698</v>
      </c>
      <c r="L36" s="460">
        <v>2442671.85490502</v>
      </c>
      <c r="M36" s="460">
        <v>1221681.2</v>
      </c>
      <c r="N36" s="460">
        <v>3664353.0549050202</v>
      </c>
      <c r="O36" s="588">
        <v>210030.90447288501</v>
      </c>
      <c r="P36" s="588">
        <v>43181.350615039999</v>
      </c>
      <c r="Q36" s="588">
        <v>49287.211449492301</v>
      </c>
      <c r="R36" s="588">
        <v>2125388.8050419101</v>
      </c>
      <c r="S36" s="592">
        <v>0</v>
      </c>
      <c r="T36" s="592">
        <v>0</v>
      </c>
      <c r="U36" s="592">
        <v>14783.5833256938</v>
      </c>
      <c r="V36" s="592">
        <v>0</v>
      </c>
      <c r="W36" s="592">
        <v>0</v>
      </c>
      <c r="X36" s="592">
        <v>0</v>
      </c>
      <c r="Y36" s="592">
        <v>0</v>
      </c>
      <c r="Z36" s="592">
        <v>0</v>
      </c>
      <c r="AA36" s="592">
        <v>1221681.2</v>
      </c>
      <c r="AB36" s="592">
        <v>0</v>
      </c>
      <c r="AC36" s="592">
        <v>4080000</v>
      </c>
      <c r="AD36" s="592">
        <v>0</v>
      </c>
      <c r="AE36" s="592">
        <v>1572075.37407382</v>
      </c>
      <c r="AF36" s="592">
        <v>2822344.8748813001</v>
      </c>
      <c r="AG36" s="592">
        <v>1693406.95857376</v>
      </c>
      <c r="AH36" s="592">
        <v>145352.43824233001</v>
      </c>
      <c r="AI36" s="592">
        <v>87211.464678134405</v>
      </c>
      <c r="AJ36" s="460">
        <v>0.98447745160629996</v>
      </c>
      <c r="AK36" s="460">
        <v>2.6104205794464201</v>
      </c>
      <c r="AL36" s="460">
        <v>1.3892757752026299</v>
      </c>
      <c r="AM36" s="460">
        <v>1.7873188928469901</v>
      </c>
      <c r="AN36" s="460">
        <v>0.56617408860319596</v>
      </c>
      <c r="AO36" s="460">
        <v>1.9831871303602899</v>
      </c>
      <c r="AP36" s="460">
        <v>-2.3306681390506898</v>
      </c>
      <c r="AQ36" s="460">
        <v>-1.1095233348069</v>
      </c>
      <c r="AR36" s="460">
        <v>-1.50756645245125</v>
      </c>
      <c r="AS36" s="460">
        <v>-0.28642164820746302</v>
      </c>
      <c r="AT36" s="460">
        <v>-8.2018595685059204</v>
      </c>
      <c r="AU36" s="460">
        <v>-3.9045261003023599</v>
      </c>
      <c r="AV36" s="460">
        <v>-5.3052805442443596</v>
      </c>
      <c r="AW36" s="460">
        <v>-1.00794707604081</v>
      </c>
      <c r="AX36" s="460">
        <v>-1.70343468996456</v>
      </c>
      <c r="AY36" s="460">
        <v>-5.9945609059990099</v>
      </c>
    </row>
    <row r="37" spans="1:51" x14ac:dyDescent="0.2">
      <c r="A37" s="588" t="s">
        <v>290</v>
      </c>
      <c r="B37" s="588" t="s">
        <v>228</v>
      </c>
      <c r="C37" s="588" t="s">
        <v>7</v>
      </c>
      <c r="D37" s="588">
        <v>0</v>
      </c>
      <c r="E37" s="588">
        <v>0</v>
      </c>
      <c r="F37" s="589">
        <v>0</v>
      </c>
      <c r="G37" s="589">
        <v>0</v>
      </c>
      <c r="H37" s="588">
        <v>0</v>
      </c>
      <c r="I37" s="588">
        <v>0</v>
      </c>
      <c r="J37" s="588">
        <v>281447.93599999999</v>
      </c>
      <c r="K37" s="588">
        <v>281447.93599999999</v>
      </c>
      <c r="L37" s="460">
        <v>281447.93599999999</v>
      </c>
      <c r="M37" s="460">
        <v>0</v>
      </c>
      <c r="N37" s="460">
        <v>281447.93599999999</v>
      </c>
      <c r="O37" s="588">
        <v>0</v>
      </c>
      <c r="P37" s="588">
        <v>281447.93599999999</v>
      </c>
      <c r="Q37" s="588">
        <v>0</v>
      </c>
      <c r="R37" s="588">
        <v>0</v>
      </c>
      <c r="S37" s="592">
        <v>0</v>
      </c>
      <c r="T37" s="592">
        <v>0</v>
      </c>
      <c r="U37" s="592">
        <v>0</v>
      </c>
      <c r="V37" s="592">
        <v>0</v>
      </c>
      <c r="W37" s="592">
        <v>0</v>
      </c>
      <c r="X37" s="592">
        <v>0</v>
      </c>
      <c r="Y37" s="592">
        <v>0</v>
      </c>
      <c r="Z37" s="592">
        <v>0</v>
      </c>
      <c r="AA37" s="592">
        <v>0</v>
      </c>
      <c r="AB37" s="592">
        <v>0</v>
      </c>
      <c r="AC37" s="592">
        <v>0</v>
      </c>
      <c r="AD37" s="592">
        <v>0</v>
      </c>
      <c r="AE37" s="592">
        <v>0</v>
      </c>
      <c r="AF37" s="592">
        <v>0</v>
      </c>
      <c r="AG37" s="592">
        <v>0</v>
      </c>
      <c r="AH37" s="592">
        <v>0</v>
      </c>
      <c r="AI37" s="592">
        <v>0</v>
      </c>
      <c r="AJ37" s="460">
        <v>0</v>
      </c>
      <c r="AK37" s="460">
        <v>0</v>
      </c>
      <c r="AL37" s="460">
        <v>0</v>
      </c>
      <c r="AM37" s="460">
        <v>0</v>
      </c>
      <c r="AN37" s="460">
        <v>0</v>
      </c>
      <c r="AO37" s="460">
        <v>0</v>
      </c>
      <c r="AP37" s="460">
        <v>0</v>
      </c>
      <c r="AQ37" s="460">
        <v>0</v>
      </c>
      <c r="AR37" s="460">
        <v>0</v>
      </c>
      <c r="AS37" s="460">
        <v>0</v>
      </c>
      <c r="AT37" s="460">
        <v>0</v>
      </c>
      <c r="AU37" s="460">
        <v>0</v>
      </c>
      <c r="AV37" s="460">
        <v>0</v>
      </c>
      <c r="AW37" s="460">
        <v>0</v>
      </c>
      <c r="AX37" s="460">
        <v>0</v>
      </c>
      <c r="AY37" s="460">
        <v>0</v>
      </c>
    </row>
    <row r="38" spans="1:51" x14ac:dyDescent="0.2">
      <c r="A38" s="588" t="s">
        <v>293</v>
      </c>
      <c r="B38" s="588" t="s">
        <v>228</v>
      </c>
      <c r="C38" s="588" t="s">
        <v>199</v>
      </c>
      <c r="D38" s="588">
        <v>12604797.0756134</v>
      </c>
      <c r="E38" s="588">
        <v>5103.89075716347</v>
      </c>
      <c r="F38" s="589">
        <v>2.1012018968702999</v>
      </c>
      <c r="G38" s="589">
        <v>2.1886214765911101</v>
      </c>
      <c r="H38" s="588">
        <v>-322495.973043259</v>
      </c>
      <c r="I38" s="588">
        <v>9914917.7888338398</v>
      </c>
      <c r="J38" s="588">
        <v>4565207.0988886598</v>
      </c>
      <c r="K38" s="588">
        <v>4382860.1329140197</v>
      </c>
      <c r="L38" s="460">
        <v>735920.81342138106</v>
      </c>
      <c r="M38" s="460">
        <v>3934037.3235410601</v>
      </c>
      <c r="N38" s="460">
        <v>4669958.1369624399</v>
      </c>
      <c r="O38" s="588">
        <v>146292.224389799</v>
      </c>
      <c r="P38" s="588">
        <v>47365.233984660401</v>
      </c>
      <c r="Q38" s="588">
        <v>84331.298074940103</v>
      </c>
      <c r="R38" s="588">
        <v>230337.59694598499</v>
      </c>
      <c r="S38" s="592">
        <v>0</v>
      </c>
      <c r="T38" s="592">
        <v>0</v>
      </c>
      <c r="U38" s="592">
        <v>227594.460025996</v>
      </c>
      <c r="V38" s="592">
        <v>0</v>
      </c>
      <c r="W38" s="592">
        <v>0</v>
      </c>
      <c r="X38" s="592">
        <v>0</v>
      </c>
      <c r="Y38" s="592">
        <v>1502621.9714357399</v>
      </c>
      <c r="Z38" s="592">
        <v>2431415.3521053302</v>
      </c>
      <c r="AA38" s="592">
        <v>0</v>
      </c>
      <c r="AB38" s="592">
        <v>0</v>
      </c>
      <c r="AC38" s="592">
        <v>3224107.74373416</v>
      </c>
      <c r="AD38" s="592">
        <v>709929.57980690303</v>
      </c>
      <c r="AE38" s="592">
        <v>0</v>
      </c>
      <c r="AF38" s="592">
        <v>60689319.532623902</v>
      </c>
      <c r="AG38" s="592">
        <v>50108435.787067302</v>
      </c>
      <c r="AH38" s="592">
        <v>-386165.65283004101</v>
      </c>
      <c r="AI38" s="592">
        <v>-320814.52721581899</v>
      </c>
      <c r="AJ38" s="460">
        <v>1.0052411773308201</v>
      </c>
      <c r="AK38" s="460">
        <v>9.4169548366410893E-2</v>
      </c>
      <c r="AL38" s="460">
        <v>7.8989222669860595E-2</v>
      </c>
      <c r="AM38" s="460">
        <v>9.0408156810703202E-2</v>
      </c>
      <c r="AN38" s="460">
        <v>7.5227831114152904E-2</v>
      </c>
      <c r="AO38" s="460">
        <v>0.24023373231494599</v>
      </c>
      <c r="AP38" s="460">
        <v>0.10369968528851101</v>
      </c>
      <c r="AQ38" s="460">
        <v>0.118880010985061</v>
      </c>
      <c r="AR38" s="460">
        <v>0.107461076844218</v>
      </c>
      <c r="AS38" s="460">
        <v>0.122641402540769</v>
      </c>
      <c r="AT38" s="460">
        <v>0.52682871309874402</v>
      </c>
      <c r="AU38" s="460">
        <v>0.60394979045672503</v>
      </c>
      <c r="AV38" s="460">
        <v>0.54593782675941505</v>
      </c>
      <c r="AW38" s="460">
        <v>0.62305890411739595</v>
      </c>
      <c r="AX38" s="460">
        <v>-4.2364498660024202E-2</v>
      </c>
      <c r="AY38" s="460">
        <v>-0.215225670628029</v>
      </c>
    </row>
    <row r="39" spans="1:51" x14ac:dyDescent="0.2">
      <c r="A39" s="588" t="s">
        <v>299</v>
      </c>
      <c r="B39" s="588" t="s">
        <v>229</v>
      </c>
      <c r="C39" s="588" t="s">
        <v>76</v>
      </c>
      <c r="D39" s="588">
        <v>0</v>
      </c>
      <c r="E39" s="588">
        <v>0</v>
      </c>
      <c r="F39" s="589">
        <v>0</v>
      </c>
      <c r="G39" s="589">
        <v>0</v>
      </c>
      <c r="H39" s="588">
        <v>0</v>
      </c>
      <c r="I39" s="588">
        <v>0</v>
      </c>
      <c r="J39" s="588">
        <v>2114294.93606753</v>
      </c>
      <c r="K39" s="588">
        <v>2114294.93606753</v>
      </c>
      <c r="L39" s="460">
        <v>2114294.93606753</v>
      </c>
      <c r="M39" s="460">
        <v>0</v>
      </c>
      <c r="N39" s="460">
        <v>2114294.93606753</v>
      </c>
      <c r="O39" s="588">
        <v>96585.612124638807</v>
      </c>
      <c r="P39" s="588">
        <v>51591.258628772601</v>
      </c>
      <c r="Q39" s="588">
        <v>46586.294347214804</v>
      </c>
      <c r="R39" s="588">
        <v>1919531.7709669</v>
      </c>
      <c r="S39" s="592">
        <v>0</v>
      </c>
      <c r="T39" s="592">
        <v>0</v>
      </c>
      <c r="U39" s="592">
        <v>0</v>
      </c>
      <c r="V39" s="592">
        <v>0</v>
      </c>
      <c r="W39" s="592">
        <v>0</v>
      </c>
      <c r="X39" s="592">
        <v>0</v>
      </c>
      <c r="Y39" s="592">
        <v>0</v>
      </c>
      <c r="Z39" s="592">
        <v>0</v>
      </c>
      <c r="AA39" s="592">
        <v>0</v>
      </c>
      <c r="AB39" s="592">
        <v>0</v>
      </c>
      <c r="AC39" s="592">
        <v>0</v>
      </c>
      <c r="AD39" s="592">
        <v>0</v>
      </c>
      <c r="AE39" s="592">
        <v>0</v>
      </c>
      <c r="AF39" s="592">
        <v>0</v>
      </c>
      <c r="AG39" s="592">
        <v>0</v>
      </c>
      <c r="AH39" s="592">
        <v>0</v>
      </c>
      <c r="AI39" s="592">
        <v>0</v>
      </c>
      <c r="AJ39" s="460">
        <v>0</v>
      </c>
      <c r="AK39" s="460">
        <v>0</v>
      </c>
      <c r="AL39" s="460">
        <v>0</v>
      </c>
      <c r="AM39" s="460">
        <v>0</v>
      </c>
      <c r="AN39" s="460">
        <v>0</v>
      </c>
      <c r="AO39" s="460">
        <v>0</v>
      </c>
      <c r="AP39" s="460">
        <v>0</v>
      </c>
      <c r="AQ39" s="460">
        <v>0</v>
      </c>
      <c r="AR39" s="460">
        <v>0</v>
      </c>
      <c r="AS39" s="460">
        <v>0</v>
      </c>
      <c r="AT39" s="460">
        <v>0</v>
      </c>
      <c r="AU39" s="460">
        <v>0</v>
      </c>
      <c r="AV39" s="460">
        <v>0</v>
      </c>
      <c r="AW39" s="460">
        <v>0</v>
      </c>
      <c r="AX39" s="460">
        <v>0</v>
      </c>
      <c r="AY39" s="460">
        <v>0</v>
      </c>
    </row>
    <row r="40" spans="1:51" x14ac:dyDescent="0.2">
      <c r="A40" s="588" t="s">
        <v>300</v>
      </c>
      <c r="B40" s="588" t="s">
        <v>229</v>
      </c>
      <c r="C40" s="588" t="s">
        <v>198</v>
      </c>
      <c r="D40" s="588">
        <v>44829818.410264499</v>
      </c>
      <c r="E40" s="588">
        <v>7196.1264558726498</v>
      </c>
      <c r="F40" s="589">
        <v>2.3727699477008999</v>
      </c>
      <c r="G40" s="589">
        <v>4.4407456301424801</v>
      </c>
      <c r="H40" s="588">
        <v>0</v>
      </c>
      <c r="I40" s="588">
        <v>26546317.332341202</v>
      </c>
      <c r="J40" s="588">
        <v>10971901.868895199</v>
      </c>
      <c r="K40" s="588">
        <v>5761896.4037373802</v>
      </c>
      <c r="L40" s="460">
        <v>2486099.31734495</v>
      </c>
      <c r="M40" s="460">
        <v>3533677.6604244998</v>
      </c>
      <c r="N40" s="460">
        <v>6019776.9777694596</v>
      </c>
      <c r="O40" s="588">
        <v>252192.755918879</v>
      </c>
      <c r="P40" s="588">
        <v>47091.200311123299</v>
      </c>
      <c r="Q40" s="588">
        <v>80726.276439948095</v>
      </c>
      <c r="R40" s="588">
        <v>1908267.1790159999</v>
      </c>
      <c r="S40" s="592">
        <v>0</v>
      </c>
      <c r="T40" s="592">
        <v>0</v>
      </c>
      <c r="U40" s="592">
        <v>197821.90565900199</v>
      </c>
      <c r="V40" s="592">
        <v>0</v>
      </c>
      <c r="W40" s="592">
        <v>0</v>
      </c>
      <c r="X40" s="592">
        <v>0</v>
      </c>
      <c r="Y40" s="592">
        <v>0</v>
      </c>
      <c r="Z40" s="592">
        <v>0</v>
      </c>
      <c r="AA40" s="592">
        <v>3533677.6604244998</v>
      </c>
      <c r="AB40" s="592">
        <v>0</v>
      </c>
      <c r="AC40" s="592">
        <v>10518184.984902401</v>
      </c>
      <c r="AD40" s="592">
        <v>0</v>
      </c>
      <c r="AE40" s="592">
        <v>4858859.8240817897</v>
      </c>
      <c r="AF40" s="592">
        <v>285745853.50340497</v>
      </c>
      <c r="AG40" s="592">
        <v>235347694.75086701</v>
      </c>
      <c r="AH40" s="592">
        <v>0</v>
      </c>
      <c r="AI40" s="592">
        <v>0</v>
      </c>
      <c r="AJ40" s="460">
        <v>0</v>
      </c>
      <c r="AK40" s="460">
        <v>4.7537758467268598E-2</v>
      </c>
      <c r="AL40" s="460">
        <v>3.6056450693231101E-2</v>
      </c>
      <c r="AM40" s="460">
        <v>2.54002760046808E-2</v>
      </c>
      <c r="AN40" s="460">
        <v>1.3918968230643199E-2</v>
      </c>
      <c r="AO40" s="460">
        <v>0.18353437302224801</v>
      </c>
      <c r="AP40" s="460">
        <v>6.52584062049303E-2</v>
      </c>
      <c r="AQ40" s="460">
        <v>7.6739713978967894E-2</v>
      </c>
      <c r="AR40" s="460">
        <v>8.7395888667518198E-2</v>
      </c>
      <c r="AS40" s="460">
        <v>9.8877196441555806E-2</v>
      </c>
      <c r="AT40" s="460">
        <v>0</v>
      </c>
      <c r="AU40" s="460">
        <v>0</v>
      </c>
      <c r="AV40" s="460">
        <v>0</v>
      </c>
      <c r="AW40" s="460">
        <v>0</v>
      </c>
      <c r="AX40" s="460">
        <v>-7.0738208350049195E-2</v>
      </c>
      <c r="AY40" s="460">
        <v>0</v>
      </c>
    </row>
    <row r="41" spans="1:51" x14ac:dyDescent="0.2">
      <c r="A41" s="588" t="s">
        <v>303</v>
      </c>
      <c r="B41" s="588" t="s">
        <v>229</v>
      </c>
      <c r="C41" s="588" t="s">
        <v>15</v>
      </c>
      <c r="D41" s="588">
        <v>45110119.739804298</v>
      </c>
      <c r="E41" s="588">
        <v>7476.4081131890898</v>
      </c>
      <c r="F41" s="589">
        <v>2.7745345668623802</v>
      </c>
      <c r="G41" s="589">
        <v>3.58594257601795</v>
      </c>
      <c r="H41" s="588">
        <v>-549905.68107371696</v>
      </c>
      <c r="I41" s="588" t="s">
        <v>597</v>
      </c>
      <c r="J41" s="588">
        <v>9854204.1413028706</v>
      </c>
      <c r="K41" s="588">
        <v>7575571.9209402297</v>
      </c>
      <c r="L41" s="460">
        <v>3801156.2461099001</v>
      </c>
      <c r="M41" s="460">
        <v>4071549</v>
      </c>
      <c r="N41" s="460">
        <v>7872705.2461099001</v>
      </c>
      <c r="O41" s="588">
        <v>314190.30748648202</v>
      </c>
      <c r="P41" s="588">
        <v>18363.475530060699</v>
      </c>
      <c r="Q41" s="588">
        <v>165892.983509688</v>
      </c>
      <c r="R41" s="588">
        <v>2231427.7705494598</v>
      </c>
      <c r="S41" s="592">
        <v>0</v>
      </c>
      <c r="T41" s="592">
        <v>0</v>
      </c>
      <c r="U41" s="592">
        <v>1071281.7090342101</v>
      </c>
      <c r="V41" s="592">
        <v>0</v>
      </c>
      <c r="W41" s="592">
        <v>0</v>
      </c>
      <c r="X41" s="592">
        <v>0</v>
      </c>
      <c r="Y41" s="592">
        <v>0</v>
      </c>
      <c r="Z41" s="592">
        <v>0</v>
      </c>
      <c r="AA41" s="592">
        <v>4071549</v>
      </c>
      <c r="AB41" s="592">
        <v>0</v>
      </c>
      <c r="AC41" s="592">
        <v>7360987.3822499998</v>
      </c>
      <c r="AD41" s="592">
        <v>0</v>
      </c>
      <c r="AE41" s="592">
        <v>1911738.28269355</v>
      </c>
      <c r="AF41" s="592">
        <v>348422558.95704299</v>
      </c>
      <c r="AG41" s="592">
        <v>229389745.221073</v>
      </c>
      <c r="AH41" s="592">
        <v>-942981.55530775897</v>
      </c>
      <c r="AI41" s="592">
        <v>-624892.639782015</v>
      </c>
      <c r="AJ41" s="460">
        <v>0.88000025294831996</v>
      </c>
      <c r="AK41" s="460">
        <v>4.4763995806365899E-2</v>
      </c>
      <c r="AL41" s="460">
        <v>2.6906963036113202E-2</v>
      </c>
      <c r="AM41" s="460">
        <v>3.46350369764045E-2</v>
      </c>
      <c r="AN41" s="460">
        <v>1.67780042061518E-2</v>
      </c>
      <c r="AO41" s="460">
        <v>0.19465302254782499</v>
      </c>
      <c r="AP41" s="460">
        <v>7.9435257909279106E-2</v>
      </c>
      <c r="AQ41" s="460">
        <v>9.7292290679531906E-2</v>
      </c>
      <c r="AR41" s="460">
        <v>8.9564216739240504E-2</v>
      </c>
      <c r="AS41" s="460">
        <v>0.107421249509493</v>
      </c>
      <c r="AT41" s="460">
        <v>0.56282984769959998</v>
      </c>
      <c r="AU41" s="460">
        <v>0.68935390388037698</v>
      </c>
      <c r="AV41" s="460">
        <v>0.63459747967649305</v>
      </c>
      <c r="AW41" s="460">
        <v>0.76112153585727005</v>
      </c>
      <c r="AX41" s="460">
        <v>-7.0453768832180505E-2</v>
      </c>
      <c r="AY41" s="460">
        <v>-0.499192487383459</v>
      </c>
    </row>
    <row r="42" spans="1:51" x14ac:dyDescent="0.2">
      <c r="A42" s="588" t="s">
        <v>305</v>
      </c>
      <c r="B42" s="588" t="s">
        <v>229</v>
      </c>
      <c r="C42" s="588" t="s">
        <v>37</v>
      </c>
      <c r="D42" s="588">
        <v>44151399.192735501</v>
      </c>
      <c r="E42" s="588">
        <v>12824.91677125</v>
      </c>
      <c r="F42" s="589">
        <v>1.06711258197253</v>
      </c>
      <c r="G42" s="589">
        <v>1.11027384723836</v>
      </c>
      <c r="H42" s="588">
        <v>-178259.297846192</v>
      </c>
      <c r="I42" s="588" t="s">
        <v>596</v>
      </c>
      <c r="J42" s="588">
        <v>16885634.4150027</v>
      </c>
      <c r="K42" s="588">
        <v>16220818.0894619</v>
      </c>
      <c r="L42" s="460">
        <v>2924491.5787392398</v>
      </c>
      <c r="M42" s="460">
        <v>14343053.222626301</v>
      </c>
      <c r="N42" s="460">
        <v>17267544.801365498</v>
      </c>
      <c r="O42" s="588">
        <v>812246.93581702199</v>
      </c>
      <c r="P42" s="588">
        <v>323463.28376697999</v>
      </c>
      <c r="Q42" s="588">
        <v>72182.785968853204</v>
      </c>
      <c r="R42" s="588">
        <v>1558037.8696003901</v>
      </c>
      <c r="S42" s="592">
        <v>0</v>
      </c>
      <c r="T42" s="592">
        <v>0</v>
      </c>
      <c r="U42" s="592">
        <v>158560.70358599999</v>
      </c>
      <c r="V42" s="592">
        <v>0</v>
      </c>
      <c r="W42" s="592">
        <v>0</v>
      </c>
      <c r="X42" s="592">
        <v>0</v>
      </c>
      <c r="Y42" s="592">
        <v>5500733.6980480999</v>
      </c>
      <c r="Z42" s="592">
        <v>8842319.5245781597</v>
      </c>
      <c r="AA42" s="592">
        <v>0</v>
      </c>
      <c r="AB42" s="592">
        <v>0</v>
      </c>
      <c r="AC42" s="592">
        <v>4761171.1752000004</v>
      </c>
      <c r="AD42" s="592">
        <v>9581882.0474340692</v>
      </c>
      <c r="AE42" s="592">
        <v>4.6939693721311797E-6</v>
      </c>
      <c r="AF42" s="592">
        <v>273127918.11015999</v>
      </c>
      <c r="AG42" s="592">
        <v>174527552.74066401</v>
      </c>
      <c r="AH42" s="592">
        <v>-378597.71284862998</v>
      </c>
      <c r="AI42" s="592">
        <v>-199466.045934717</v>
      </c>
      <c r="AJ42" s="460">
        <v>0.893682416026509</v>
      </c>
      <c r="AK42" s="460">
        <v>9.8945309217762706E-2</v>
      </c>
      <c r="AL42" s="460">
        <v>8.0775296760851906E-2</v>
      </c>
      <c r="AM42" s="460">
        <v>9.5098866514839106E-2</v>
      </c>
      <c r="AN42" s="460">
        <v>7.6928854057928195E-2</v>
      </c>
      <c r="AO42" s="460">
        <v>0.25296722602816901</v>
      </c>
      <c r="AP42" s="460">
        <v>6.6404751756746604E-3</v>
      </c>
      <c r="AQ42" s="460">
        <v>2.48104876325855E-2</v>
      </c>
      <c r="AR42" s="460">
        <v>1.04869178785983E-2</v>
      </c>
      <c r="AS42" s="460">
        <v>2.86569303355091E-2</v>
      </c>
      <c r="AT42" s="460">
        <v>5.6205254643448603E-2</v>
      </c>
      <c r="AU42" s="460">
        <v>0.209996986409312</v>
      </c>
      <c r="AV42" s="460">
        <v>8.8761703673058398E-2</v>
      </c>
      <c r="AW42" s="460">
        <v>0.24255343543892199</v>
      </c>
      <c r="AX42" s="460">
        <v>-0.14738144163473199</v>
      </c>
      <c r="AY42" s="460">
        <v>-1.24744257566724</v>
      </c>
    </row>
    <row r="43" spans="1:51" x14ac:dyDescent="0.2">
      <c r="A43" s="588" t="s">
        <v>306</v>
      </c>
      <c r="B43" s="588" t="s">
        <v>229</v>
      </c>
      <c r="C43" s="588" t="s">
        <v>77</v>
      </c>
      <c r="D43" s="588">
        <v>0</v>
      </c>
      <c r="E43" s="588">
        <v>0</v>
      </c>
      <c r="F43" s="589">
        <v>0</v>
      </c>
      <c r="G43" s="589">
        <v>0</v>
      </c>
      <c r="H43" s="588">
        <v>0</v>
      </c>
      <c r="I43" s="588">
        <v>0</v>
      </c>
      <c r="J43" s="588">
        <v>426216.99612175499</v>
      </c>
      <c r="K43" s="588">
        <v>426216.99612175499</v>
      </c>
      <c r="L43" s="460">
        <v>426216.99612175499</v>
      </c>
      <c r="M43" s="460">
        <v>0</v>
      </c>
      <c r="N43" s="460">
        <v>426216.99612175499</v>
      </c>
      <c r="O43" s="588">
        <v>18742.109168152401</v>
      </c>
      <c r="P43" s="588">
        <v>42354.244867736801</v>
      </c>
      <c r="Q43" s="588">
        <v>0</v>
      </c>
      <c r="R43" s="588">
        <v>365120.64208586502</v>
      </c>
      <c r="S43" s="592">
        <v>0</v>
      </c>
      <c r="T43" s="592">
        <v>0</v>
      </c>
      <c r="U43" s="592">
        <v>0</v>
      </c>
      <c r="V43" s="592">
        <v>0</v>
      </c>
      <c r="W43" s="592">
        <v>0</v>
      </c>
      <c r="X43" s="592">
        <v>0</v>
      </c>
      <c r="Y43" s="592">
        <v>0</v>
      </c>
      <c r="Z43" s="592">
        <v>0</v>
      </c>
      <c r="AA43" s="592">
        <v>0</v>
      </c>
      <c r="AB43" s="592">
        <v>0</v>
      </c>
      <c r="AC43" s="592">
        <v>0</v>
      </c>
      <c r="AD43" s="592">
        <v>0</v>
      </c>
      <c r="AE43" s="592">
        <v>0</v>
      </c>
      <c r="AF43" s="592">
        <v>0</v>
      </c>
      <c r="AG43" s="592">
        <v>0</v>
      </c>
      <c r="AH43" s="592">
        <v>0</v>
      </c>
      <c r="AI43" s="592">
        <v>0</v>
      </c>
      <c r="AJ43" s="460">
        <v>0</v>
      </c>
      <c r="AK43" s="460">
        <v>0</v>
      </c>
      <c r="AL43" s="460">
        <v>0</v>
      </c>
      <c r="AM43" s="460">
        <v>0</v>
      </c>
      <c r="AN43" s="460">
        <v>0</v>
      </c>
      <c r="AO43" s="460">
        <v>0</v>
      </c>
      <c r="AP43" s="460">
        <v>0</v>
      </c>
      <c r="AQ43" s="460">
        <v>0</v>
      </c>
      <c r="AR43" s="460">
        <v>0</v>
      </c>
      <c r="AS43" s="460">
        <v>0</v>
      </c>
      <c r="AT43" s="460">
        <v>0</v>
      </c>
      <c r="AU43" s="460">
        <v>0</v>
      </c>
      <c r="AV43" s="460">
        <v>0</v>
      </c>
      <c r="AW43" s="460">
        <v>0</v>
      </c>
      <c r="AX43" s="460">
        <v>0</v>
      </c>
      <c r="AY43" s="460">
        <v>0</v>
      </c>
    </row>
    <row r="44" spans="1:51" x14ac:dyDescent="0.2">
      <c r="A44" s="588" t="s">
        <v>309</v>
      </c>
      <c r="B44" s="588" t="s">
        <v>229</v>
      </c>
      <c r="C44" s="588" t="s">
        <v>12</v>
      </c>
      <c r="D44" s="588">
        <v>20276002.730076399</v>
      </c>
      <c r="E44" s="588">
        <v>7164.0915731883397</v>
      </c>
      <c r="F44" s="589">
        <v>0.51128927068852503</v>
      </c>
      <c r="G44" s="589">
        <v>0.61255288380375905</v>
      </c>
      <c r="H44" s="588">
        <v>-19386.426555174701</v>
      </c>
      <c r="I44" s="588">
        <v>13167228.863222299</v>
      </c>
      <c r="J44" s="588">
        <v>25715075.9666082</v>
      </c>
      <c r="K44" s="588">
        <v>21464011.980521899</v>
      </c>
      <c r="L44" s="460">
        <v>11600523.265241001</v>
      </c>
      <c r="M44" s="460">
        <v>10639972.1374139</v>
      </c>
      <c r="N44" s="460">
        <v>22240495.402654901</v>
      </c>
      <c r="O44" s="588">
        <v>1254814.4860062699</v>
      </c>
      <c r="P44" s="588">
        <v>113546.76650854701</v>
      </c>
      <c r="Q44" s="588">
        <v>96145.820463489697</v>
      </c>
      <c r="R44" s="588">
        <v>10036558.2201673</v>
      </c>
      <c r="S44" s="592">
        <v>0</v>
      </c>
      <c r="T44" s="592">
        <v>0</v>
      </c>
      <c r="U44" s="592">
        <v>99457.972095422097</v>
      </c>
      <c r="V44" s="592">
        <v>0</v>
      </c>
      <c r="W44" s="592">
        <v>0</v>
      </c>
      <c r="X44" s="592">
        <v>0</v>
      </c>
      <c r="Y44" s="592">
        <v>0</v>
      </c>
      <c r="Z44" s="592">
        <v>0</v>
      </c>
      <c r="AA44" s="592">
        <v>2782349.0186965</v>
      </c>
      <c r="AB44" s="592">
        <v>7857623.1187173901</v>
      </c>
      <c r="AC44" s="592">
        <v>12679060.888885301</v>
      </c>
      <c r="AD44" s="592">
        <v>1933432.82961541</v>
      </c>
      <c r="AE44" s="592">
        <v>3207669.7576762298</v>
      </c>
      <c r="AF44" s="592">
        <v>118656496.833125</v>
      </c>
      <c r="AG44" s="592">
        <v>96348203.774350002</v>
      </c>
      <c r="AH44" s="592">
        <v>-6346.0668593595401</v>
      </c>
      <c r="AI44" s="592">
        <v>-18620.891881206699</v>
      </c>
      <c r="AJ44" s="460">
        <v>1.0411116008218999</v>
      </c>
      <c r="AK44" s="460">
        <v>0.26729084410503001</v>
      </c>
      <c r="AL44" s="460">
        <v>0.14671124093167401</v>
      </c>
      <c r="AM44" s="460">
        <v>0.22310390556901399</v>
      </c>
      <c r="AN44" s="460">
        <v>0.102524302395658</v>
      </c>
      <c r="AO44" s="460">
        <v>0.38171353607874697</v>
      </c>
      <c r="AP44" s="460">
        <v>-0.13062790336084901</v>
      </c>
      <c r="AQ44" s="460">
        <v>-1.00483001874931E-2</v>
      </c>
      <c r="AR44" s="460">
        <v>-8.6440964824833003E-2</v>
      </c>
      <c r="AS44" s="460">
        <v>3.4138638348523098E-2</v>
      </c>
      <c r="AT44" s="460">
        <v>-0.99513609790292601</v>
      </c>
      <c r="AU44" s="460">
        <v>-7.6548930067054502E-2</v>
      </c>
      <c r="AV44" s="460">
        <v>-0.65851569397953902</v>
      </c>
      <c r="AW44" s="460">
        <v>0.260071473856333</v>
      </c>
      <c r="AX44" s="460">
        <v>-0.245050595334565</v>
      </c>
      <c r="AY44" s="460">
        <v>-1.8668193162096001</v>
      </c>
    </row>
    <row r="45" spans="1:51" x14ac:dyDescent="0.2">
      <c r="A45" s="588" t="s">
        <v>310</v>
      </c>
      <c r="B45" s="588" t="s">
        <v>229</v>
      </c>
      <c r="C45" s="588" t="s">
        <v>14</v>
      </c>
      <c r="D45" s="588">
        <v>88085003.436603397</v>
      </c>
      <c r="E45" s="588">
        <v>4613.7875318435799</v>
      </c>
      <c r="F45" s="589">
        <v>2.7193297733316002</v>
      </c>
      <c r="G45" s="589">
        <v>3.8153891647189302</v>
      </c>
      <c r="H45" s="588">
        <v>0</v>
      </c>
      <c r="I45" s="588">
        <v>42820276.494761698</v>
      </c>
      <c r="J45" s="588">
        <v>15746628.788718199</v>
      </c>
      <c r="K45" s="588">
        <v>11223042.957379701</v>
      </c>
      <c r="L45" s="460">
        <v>2980951.4619248402</v>
      </c>
      <c r="M45" s="460">
        <v>8890933.6642515808</v>
      </c>
      <c r="N45" s="460">
        <v>11871885.1261764</v>
      </c>
      <c r="O45" s="588">
        <v>388747.47031644097</v>
      </c>
      <c r="P45" s="588">
        <v>36820.722839059097</v>
      </c>
      <c r="Q45" s="588">
        <v>19767.7437902934</v>
      </c>
      <c r="R45" s="588">
        <v>2535615.5249790498</v>
      </c>
      <c r="S45" s="592">
        <v>0</v>
      </c>
      <c r="T45" s="592">
        <v>0</v>
      </c>
      <c r="U45" s="592">
        <v>0</v>
      </c>
      <c r="V45" s="592">
        <v>0</v>
      </c>
      <c r="W45" s="592">
        <v>0</v>
      </c>
      <c r="X45" s="592">
        <v>0</v>
      </c>
      <c r="Y45" s="592">
        <v>0</v>
      </c>
      <c r="Z45" s="592">
        <v>0</v>
      </c>
      <c r="AA45" s="592">
        <v>8890933.6642515808</v>
      </c>
      <c r="AB45" s="592">
        <v>0</v>
      </c>
      <c r="AC45" s="592">
        <v>15714793.9344403</v>
      </c>
      <c r="AD45" s="592">
        <v>0</v>
      </c>
      <c r="AE45" s="592">
        <v>4093956.3820168702</v>
      </c>
      <c r="AF45" s="592">
        <v>647083682.87377298</v>
      </c>
      <c r="AG45" s="592">
        <v>420374504.51019299</v>
      </c>
      <c r="AH45" s="592">
        <v>0</v>
      </c>
      <c r="AI45" s="592">
        <v>0</v>
      </c>
      <c r="AJ45" s="460">
        <v>0</v>
      </c>
      <c r="AK45" s="460">
        <v>3.7458572343880898E-2</v>
      </c>
      <c r="AL45" s="460">
        <v>3.0367391908478099E-2</v>
      </c>
      <c r="AM45" s="460">
        <v>2.6697725092668202E-2</v>
      </c>
      <c r="AN45" s="460">
        <v>1.9606544657265398E-2</v>
      </c>
      <c r="AO45" s="460">
        <v>0.18774123342341401</v>
      </c>
      <c r="AP45" s="460">
        <v>6.4403638697329998E-2</v>
      </c>
      <c r="AQ45" s="460">
        <v>7.1494819132732895E-2</v>
      </c>
      <c r="AR45" s="460">
        <v>7.5164485948542803E-2</v>
      </c>
      <c r="AS45" s="460">
        <v>8.2255666383945603E-2</v>
      </c>
      <c r="AT45" s="460">
        <v>0</v>
      </c>
      <c r="AU45" s="460">
        <v>0</v>
      </c>
      <c r="AV45" s="460">
        <v>0</v>
      </c>
      <c r="AW45" s="460">
        <v>0</v>
      </c>
      <c r="AX45" s="460">
        <v>-8.5879022382203393E-2</v>
      </c>
      <c r="AY45" s="460">
        <v>0</v>
      </c>
    </row>
    <row r="46" spans="1:51" x14ac:dyDescent="0.2">
      <c r="A46" s="588" t="s">
        <v>312</v>
      </c>
      <c r="B46" s="588" t="s">
        <v>229</v>
      </c>
      <c r="C46" s="588" t="s">
        <v>20</v>
      </c>
      <c r="D46" s="588">
        <v>20435874.929499999</v>
      </c>
      <c r="E46" s="588">
        <v>6269.7965008499996</v>
      </c>
      <c r="F46" s="589">
        <v>0.80426906720031499</v>
      </c>
      <c r="G46" s="589">
        <v>1.1811762217224899</v>
      </c>
      <c r="H46" s="588">
        <v>-99204.394129961496</v>
      </c>
      <c r="I46" s="588">
        <v>9829483.4268535096</v>
      </c>
      <c r="J46" s="588">
        <v>12098288.2837891</v>
      </c>
      <c r="K46" s="588">
        <v>8237787.7693254203</v>
      </c>
      <c r="L46" s="460">
        <v>1577507.0485101601</v>
      </c>
      <c r="M46" s="460">
        <v>7184598</v>
      </c>
      <c r="N46" s="460">
        <v>8762105.0485101603</v>
      </c>
      <c r="O46" s="588">
        <v>424023.361445388</v>
      </c>
      <c r="P46" s="588">
        <v>83725.366663664405</v>
      </c>
      <c r="Q46" s="588">
        <v>65224.210065265303</v>
      </c>
      <c r="R46" s="588">
        <v>845973.40674984001</v>
      </c>
      <c r="S46" s="592">
        <v>0</v>
      </c>
      <c r="T46" s="592">
        <v>0</v>
      </c>
      <c r="U46" s="592">
        <v>158560.70358599999</v>
      </c>
      <c r="V46" s="592">
        <v>0</v>
      </c>
      <c r="W46" s="592">
        <v>0</v>
      </c>
      <c r="X46" s="592">
        <v>0</v>
      </c>
      <c r="Y46" s="592">
        <v>0</v>
      </c>
      <c r="Z46" s="592">
        <v>0</v>
      </c>
      <c r="AA46" s="592">
        <v>0</v>
      </c>
      <c r="AB46" s="592">
        <v>7184598</v>
      </c>
      <c r="AC46" s="592">
        <v>12854106.917636599</v>
      </c>
      <c r="AD46" s="592">
        <v>0</v>
      </c>
      <c r="AE46" s="592">
        <v>3521705.3505819701</v>
      </c>
      <c r="AF46" s="592">
        <v>133404964.119854</v>
      </c>
      <c r="AG46" s="592">
        <v>88908007.609930605</v>
      </c>
      <c r="AH46" s="592">
        <v>-171937.31974716601</v>
      </c>
      <c r="AI46" s="592">
        <v>-114664.012757832</v>
      </c>
      <c r="AJ46" s="460">
        <v>0.86517462405121903</v>
      </c>
      <c r="AK46" s="460">
        <v>0.137463833492242</v>
      </c>
      <c r="AL46" s="460">
        <v>0.119539796540684</v>
      </c>
      <c r="AM46" s="460">
        <v>9.3599843193050397E-2</v>
      </c>
      <c r="AN46" s="460">
        <v>7.5675806241492297E-2</v>
      </c>
      <c r="AO46" s="460">
        <v>0.250553385340549</v>
      </c>
      <c r="AP46" s="460">
        <v>-2.6905924355657199E-2</v>
      </c>
      <c r="AQ46" s="460">
        <v>-8.9818874040990104E-3</v>
      </c>
      <c r="AR46" s="460">
        <v>1.6958065943534498E-2</v>
      </c>
      <c r="AS46" s="460">
        <v>3.48821028950927E-2</v>
      </c>
      <c r="AT46" s="460">
        <v>-0.210553212980892</v>
      </c>
      <c r="AU46" s="460">
        <v>-7.02880609700436E-2</v>
      </c>
      <c r="AV46" s="460">
        <v>0.13270591350644001</v>
      </c>
      <c r="AW46" s="460">
        <v>0.272971065517288</v>
      </c>
      <c r="AX46" s="460">
        <v>-0.13999547620396399</v>
      </c>
      <c r="AY46" s="460">
        <v>-1.0955392919379801</v>
      </c>
    </row>
    <row r="47" spans="1:51" x14ac:dyDescent="0.2">
      <c r="A47" s="588" t="s">
        <v>317</v>
      </c>
      <c r="B47" s="588" t="s">
        <v>233</v>
      </c>
      <c r="C47" s="588" t="s">
        <v>78</v>
      </c>
      <c r="D47" s="588">
        <v>0</v>
      </c>
      <c r="E47" s="588">
        <v>0</v>
      </c>
      <c r="F47" s="589">
        <v>0</v>
      </c>
      <c r="G47" s="589">
        <v>0</v>
      </c>
      <c r="H47" s="588">
        <v>0</v>
      </c>
      <c r="I47" s="588">
        <v>0</v>
      </c>
      <c r="J47" s="588">
        <v>765471.54702540697</v>
      </c>
      <c r="K47" s="588">
        <v>765471.54702540697</v>
      </c>
      <c r="L47" s="460">
        <v>765471.54702540697</v>
      </c>
      <c r="M47" s="460">
        <v>0</v>
      </c>
      <c r="N47" s="460">
        <v>765471.54702540697</v>
      </c>
      <c r="O47" s="588">
        <v>35684.5251425979</v>
      </c>
      <c r="P47" s="588">
        <v>24971.4885748212</v>
      </c>
      <c r="Q47" s="588">
        <v>0</v>
      </c>
      <c r="R47" s="588">
        <v>704815.53330798796</v>
      </c>
      <c r="S47" s="592">
        <v>0</v>
      </c>
      <c r="T47" s="592">
        <v>0</v>
      </c>
      <c r="U47" s="592">
        <v>0</v>
      </c>
      <c r="V47" s="592">
        <v>0</v>
      </c>
      <c r="W47" s="592">
        <v>0</v>
      </c>
      <c r="X47" s="592">
        <v>0</v>
      </c>
      <c r="Y47" s="592">
        <v>0</v>
      </c>
      <c r="Z47" s="592">
        <v>0</v>
      </c>
      <c r="AA47" s="592">
        <v>0</v>
      </c>
      <c r="AB47" s="592">
        <v>0</v>
      </c>
      <c r="AC47" s="592">
        <v>0</v>
      </c>
      <c r="AD47" s="592">
        <v>0</v>
      </c>
      <c r="AE47" s="592">
        <v>0</v>
      </c>
      <c r="AF47" s="592">
        <v>0</v>
      </c>
      <c r="AG47" s="592">
        <v>0</v>
      </c>
      <c r="AH47" s="592">
        <v>0</v>
      </c>
      <c r="AI47" s="592">
        <v>0</v>
      </c>
      <c r="AJ47" s="460">
        <v>0</v>
      </c>
      <c r="AK47" s="460">
        <v>0</v>
      </c>
      <c r="AL47" s="460">
        <v>0</v>
      </c>
      <c r="AM47" s="460">
        <v>0</v>
      </c>
      <c r="AN47" s="460">
        <v>0</v>
      </c>
      <c r="AO47" s="460">
        <v>0</v>
      </c>
      <c r="AP47" s="460">
        <v>0</v>
      </c>
      <c r="AQ47" s="460">
        <v>0</v>
      </c>
      <c r="AR47" s="460">
        <v>0</v>
      </c>
      <c r="AS47" s="460">
        <v>0</v>
      </c>
      <c r="AT47" s="460">
        <v>0</v>
      </c>
      <c r="AU47" s="460">
        <v>0</v>
      </c>
      <c r="AV47" s="460">
        <v>0</v>
      </c>
      <c r="AW47" s="460">
        <v>0</v>
      </c>
      <c r="AX47" s="460">
        <v>0</v>
      </c>
      <c r="AY47" s="460">
        <v>0</v>
      </c>
    </row>
    <row r="48" spans="1:51" x14ac:dyDescent="0.2">
      <c r="A48" s="588" t="s">
        <v>318</v>
      </c>
      <c r="B48" s="588" t="s">
        <v>233</v>
      </c>
      <c r="C48" s="588" t="s">
        <v>16</v>
      </c>
      <c r="D48" s="588">
        <v>15613945.485515</v>
      </c>
      <c r="E48" s="588">
        <v>2167.3517674987002</v>
      </c>
      <c r="F48" s="589">
        <v>1.00930702628464</v>
      </c>
      <c r="G48" s="589">
        <v>2.1376788337497499</v>
      </c>
      <c r="H48" s="588">
        <v>0</v>
      </c>
      <c r="I48" s="588">
        <v>7200591.4738805899</v>
      </c>
      <c r="J48" s="588">
        <v>7134193.3488630196</v>
      </c>
      <c r="K48" s="588">
        <v>3368415.9473338099</v>
      </c>
      <c r="L48" s="460">
        <v>1911141.1504561501</v>
      </c>
      <c r="M48" s="460">
        <v>1571995.84071226</v>
      </c>
      <c r="N48" s="460">
        <v>3483136.9911684101</v>
      </c>
      <c r="O48" s="588">
        <v>154292.85620005699</v>
      </c>
      <c r="P48" s="588">
        <v>20360.8324355736</v>
      </c>
      <c r="Q48" s="588">
        <v>39589.872010864601</v>
      </c>
      <c r="R48" s="588">
        <v>1575283.4667124001</v>
      </c>
      <c r="S48" s="592">
        <v>0</v>
      </c>
      <c r="T48" s="592">
        <v>0</v>
      </c>
      <c r="U48" s="592">
        <v>121614.123097252</v>
      </c>
      <c r="V48" s="592">
        <v>0</v>
      </c>
      <c r="W48" s="592">
        <v>0</v>
      </c>
      <c r="X48" s="592">
        <v>0</v>
      </c>
      <c r="Y48" s="592">
        <v>0</v>
      </c>
      <c r="Z48" s="592">
        <v>0</v>
      </c>
      <c r="AA48" s="592">
        <v>1571995.84071226</v>
      </c>
      <c r="AB48" s="592">
        <v>0</v>
      </c>
      <c r="AC48" s="592">
        <v>7067692.8508160496</v>
      </c>
      <c r="AD48" s="592">
        <v>0</v>
      </c>
      <c r="AE48" s="592">
        <v>3682660.6494796299</v>
      </c>
      <c r="AF48" s="592">
        <v>99776389.260047898</v>
      </c>
      <c r="AG48" s="592">
        <v>72612162.266222805</v>
      </c>
      <c r="AH48" s="592">
        <v>0</v>
      </c>
      <c r="AI48" s="592">
        <v>0</v>
      </c>
      <c r="AJ48" s="460">
        <v>0</v>
      </c>
      <c r="AK48" s="460">
        <v>9.8250666640479004E-2</v>
      </c>
      <c r="AL48" s="460">
        <v>7.1930817584762899E-2</v>
      </c>
      <c r="AM48" s="460">
        <v>4.6389142565180203E-2</v>
      </c>
      <c r="AN48" s="460">
        <v>2.0069293509464101E-2</v>
      </c>
      <c r="AO48" s="460">
        <v>0.20445434098825299</v>
      </c>
      <c r="AP48" s="460">
        <v>9.1442153690629102E-4</v>
      </c>
      <c r="AQ48" s="460">
        <v>2.72342705926224E-2</v>
      </c>
      <c r="AR48" s="460">
        <v>5.2775945612205097E-2</v>
      </c>
      <c r="AS48" s="460">
        <v>7.9095794667921104E-2</v>
      </c>
      <c r="AT48" s="460">
        <v>0</v>
      </c>
      <c r="AU48" s="460">
        <v>0</v>
      </c>
      <c r="AV48" s="460">
        <v>0</v>
      </c>
      <c r="AW48" s="460">
        <v>0</v>
      </c>
      <c r="AX48" s="460">
        <v>-0.105289252810868</v>
      </c>
      <c r="AY48" s="460">
        <v>0</v>
      </c>
    </row>
    <row r="49" spans="1:51" x14ac:dyDescent="0.2">
      <c r="A49" s="588" t="s">
        <v>319</v>
      </c>
      <c r="B49" s="588" t="s">
        <v>233</v>
      </c>
      <c r="C49" s="588" t="s">
        <v>17</v>
      </c>
      <c r="D49" s="588">
        <v>428995.40856030001</v>
      </c>
      <c r="E49" s="588">
        <v>118.1736145</v>
      </c>
      <c r="F49" s="589">
        <v>0.221146726520041</v>
      </c>
      <c r="G49" s="589">
        <v>0.23441894014149101</v>
      </c>
      <c r="H49" s="588">
        <v>-5213.9613632678102</v>
      </c>
      <c r="I49" s="588">
        <v>268340.37301450002</v>
      </c>
      <c r="J49" s="588">
        <v>1189827.29607525</v>
      </c>
      <c r="K49" s="588">
        <v>1122462.2528043799</v>
      </c>
      <c r="L49" s="460">
        <v>1066165.5019239399</v>
      </c>
      <c r="M49" s="460">
        <v>60728.6</v>
      </c>
      <c r="N49" s="460">
        <v>1126894.10192394</v>
      </c>
      <c r="O49" s="588">
        <v>57920.3976359031</v>
      </c>
      <c r="P49" s="588">
        <v>9871.3163990099001</v>
      </c>
      <c r="Q49" s="588">
        <v>5905.6715154328404</v>
      </c>
      <c r="R49" s="588">
        <v>792162.50186047098</v>
      </c>
      <c r="S49" s="592">
        <v>0</v>
      </c>
      <c r="T49" s="592">
        <v>0</v>
      </c>
      <c r="U49" s="592">
        <v>200305.61451312099</v>
      </c>
      <c r="V49" s="592">
        <v>0</v>
      </c>
      <c r="W49" s="592">
        <v>0</v>
      </c>
      <c r="X49" s="592">
        <v>0</v>
      </c>
      <c r="Y49" s="592">
        <v>0</v>
      </c>
      <c r="Z49" s="592">
        <v>0</v>
      </c>
      <c r="AA49" s="592">
        <v>60728.6</v>
      </c>
      <c r="AB49" s="592">
        <v>0</v>
      </c>
      <c r="AC49" s="592">
        <v>166272.72500000001</v>
      </c>
      <c r="AD49" s="592">
        <v>0</v>
      </c>
      <c r="AE49" s="592">
        <v>64354.585322282401</v>
      </c>
      <c r="AF49" s="592">
        <v>3333662.64001302</v>
      </c>
      <c r="AG49" s="592">
        <v>2247974.3288939199</v>
      </c>
      <c r="AH49" s="592">
        <v>-8104.82577550107</v>
      </c>
      <c r="AI49" s="592">
        <v>-5397.4922507461897</v>
      </c>
      <c r="AJ49" s="460">
        <v>0.965997007693155</v>
      </c>
      <c r="AK49" s="460">
        <v>0.53977672814809596</v>
      </c>
      <c r="AL49" s="460">
        <v>5.6100375965568397E-2</v>
      </c>
      <c r="AM49" s="460">
        <v>0.50921592090468504</v>
      </c>
      <c r="AN49" s="460">
        <v>2.5539568722156899E-2</v>
      </c>
      <c r="AO49" s="460">
        <v>0.66959469992139697</v>
      </c>
      <c r="AP49" s="460">
        <v>-0.42040687166644602</v>
      </c>
      <c r="AQ49" s="460">
        <v>6.3269480516081306E-2</v>
      </c>
      <c r="AR49" s="460">
        <v>-0.38984606442303499</v>
      </c>
      <c r="AS49" s="460">
        <v>9.3830287759492703E-2</v>
      </c>
      <c r="AT49" s="460">
        <v>-3.4021300855451901</v>
      </c>
      <c r="AU49" s="460">
        <v>0.51200638635458195</v>
      </c>
      <c r="AV49" s="460">
        <v>-3.1548176632976102</v>
      </c>
      <c r="AW49" s="460">
        <v>0.75931880860216405</v>
      </c>
      <c r="AX49" s="460">
        <v>-0.55022484343974798</v>
      </c>
      <c r="AY49" s="460">
        <v>-4.4526781549992398</v>
      </c>
    </row>
    <row r="50" spans="1:51" x14ac:dyDescent="0.2">
      <c r="A50" s="588" t="s">
        <v>320</v>
      </c>
      <c r="B50" s="588" t="s">
        <v>233</v>
      </c>
      <c r="C50" s="588" t="s">
        <v>79</v>
      </c>
      <c r="D50" s="588">
        <v>0</v>
      </c>
      <c r="E50" s="588">
        <v>0</v>
      </c>
      <c r="F50" s="589">
        <v>0</v>
      </c>
      <c r="G50" s="589">
        <v>0</v>
      </c>
      <c r="H50" s="588">
        <v>0</v>
      </c>
      <c r="I50" s="588">
        <v>0</v>
      </c>
      <c r="J50" s="588">
        <v>341713.55279716197</v>
      </c>
      <c r="K50" s="588">
        <v>341713.55279716197</v>
      </c>
      <c r="L50" s="460">
        <v>341713.55279716197</v>
      </c>
      <c r="M50" s="460">
        <v>0</v>
      </c>
      <c r="N50" s="460">
        <v>341713.55279716197</v>
      </c>
      <c r="O50" s="588">
        <v>15929.9008744894</v>
      </c>
      <c r="P50" s="588">
        <v>33082.625619960098</v>
      </c>
      <c r="Q50" s="588">
        <v>0</v>
      </c>
      <c r="R50" s="588">
        <v>292701.02630271198</v>
      </c>
      <c r="S50" s="592">
        <v>0</v>
      </c>
      <c r="T50" s="592">
        <v>0</v>
      </c>
      <c r="U50" s="592">
        <v>0</v>
      </c>
      <c r="V50" s="592">
        <v>0</v>
      </c>
      <c r="W50" s="592">
        <v>0</v>
      </c>
      <c r="X50" s="592">
        <v>0</v>
      </c>
      <c r="Y50" s="592">
        <v>0</v>
      </c>
      <c r="Z50" s="592">
        <v>0</v>
      </c>
      <c r="AA50" s="592">
        <v>0</v>
      </c>
      <c r="AB50" s="592">
        <v>0</v>
      </c>
      <c r="AC50" s="592">
        <v>0</v>
      </c>
      <c r="AD50" s="592">
        <v>0</v>
      </c>
      <c r="AE50" s="592">
        <v>0</v>
      </c>
      <c r="AF50" s="592">
        <v>0</v>
      </c>
      <c r="AG50" s="592">
        <v>0</v>
      </c>
      <c r="AH50" s="592">
        <v>0</v>
      </c>
      <c r="AI50" s="592">
        <v>0</v>
      </c>
      <c r="AJ50" s="460">
        <v>0</v>
      </c>
      <c r="AK50" s="460">
        <v>0</v>
      </c>
      <c r="AL50" s="460">
        <v>0</v>
      </c>
      <c r="AM50" s="460">
        <v>0</v>
      </c>
      <c r="AN50" s="460">
        <v>0</v>
      </c>
      <c r="AO50" s="460">
        <v>0</v>
      </c>
      <c r="AP50" s="460">
        <v>0</v>
      </c>
      <c r="AQ50" s="460">
        <v>0</v>
      </c>
      <c r="AR50" s="460">
        <v>0</v>
      </c>
      <c r="AS50" s="460">
        <v>0</v>
      </c>
      <c r="AT50" s="460">
        <v>0</v>
      </c>
      <c r="AU50" s="460">
        <v>0</v>
      </c>
      <c r="AV50" s="460">
        <v>0</v>
      </c>
      <c r="AW50" s="460">
        <v>0</v>
      </c>
      <c r="AX50" s="460">
        <v>0</v>
      </c>
      <c r="AY50" s="460">
        <v>0</v>
      </c>
    </row>
    <row r="51" spans="1:51" x14ac:dyDescent="0.2">
      <c r="A51" s="588" t="s">
        <v>324</v>
      </c>
      <c r="B51" s="588" t="s">
        <v>230</v>
      </c>
      <c r="C51" s="588" t="s">
        <v>80</v>
      </c>
      <c r="D51" s="588">
        <v>0</v>
      </c>
      <c r="E51" s="588">
        <v>0</v>
      </c>
      <c r="F51" s="589">
        <v>0</v>
      </c>
      <c r="G51" s="589">
        <v>0</v>
      </c>
      <c r="H51" s="588">
        <v>0</v>
      </c>
      <c r="I51" s="588">
        <v>0</v>
      </c>
      <c r="J51" s="588">
        <v>1917172.46775948</v>
      </c>
      <c r="K51" s="588">
        <v>1917172.46775948</v>
      </c>
      <c r="L51" s="460">
        <v>1917172.46775948</v>
      </c>
      <c r="M51" s="460">
        <v>0</v>
      </c>
      <c r="N51" s="460">
        <v>1917172.46775948</v>
      </c>
      <c r="O51" s="588">
        <v>94035.946760448802</v>
      </c>
      <c r="P51" s="588">
        <v>40104.706642590798</v>
      </c>
      <c r="Q51" s="588">
        <v>0</v>
      </c>
      <c r="R51" s="588">
        <v>1783031.81435644</v>
      </c>
      <c r="S51" s="592">
        <v>0</v>
      </c>
      <c r="T51" s="592">
        <v>0</v>
      </c>
      <c r="U51" s="592">
        <v>0</v>
      </c>
      <c r="V51" s="592">
        <v>0</v>
      </c>
      <c r="W51" s="592">
        <v>0</v>
      </c>
      <c r="X51" s="592">
        <v>0</v>
      </c>
      <c r="Y51" s="592">
        <v>0</v>
      </c>
      <c r="Z51" s="592">
        <v>0</v>
      </c>
      <c r="AA51" s="592">
        <v>0</v>
      </c>
      <c r="AB51" s="592">
        <v>0</v>
      </c>
      <c r="AC51" s="592">
        <v>0</v>
      </c>
      <c r="AD51" s="592">
        <v>0</v>
      </c>
      <c r="AE51" s="592">
        <v>0</v>
      </c>
      <c r="AF51" s="592">
        <v>0</v>
      </c>
      <c r="AG51" s="592">
        <v>0</v>
      </c>
      <c r="AH51" s="592">
        <v>0</v>
      </c>
      <c r="AI51" s="592">
        <v>0</v>
      </c>
      <c r="AJ51" s="460">
        <v>0</v>
      </c>
      <c r="AK51" s="460">
        <v>0</v>
      </c>
      <c r="AL51" s="460">
        <v>0</v>
      </c>
      <c r="AM51" s="460">
        <v>0</v>
      </c>
      <c r="AN51" s="460">
        <v>0</v>
      </c>
      <c r="AO51" s="460">
        <v>0</v>
      </c>
      <c r="AP51" s="460">
        <v>0</v>
      </c>
      <c r="AQ51" s="460">
        <v>0</v>
      </c>
      <c r="AR51" s="460">
        <v>0</v>
      </c>
      <c r="AS51" s="460">
        <v>0</v>
      </c>
      <c r="AT51" s="460">
        <v>0</v>
      </c>
      <c r="AU51" s="460">
        <v>0</v>
      </c>
      <c r="AV51" s="460">
        <v>0</v>
      </c>
      <c r="AW51" s="460">
        <v>0</v>
      </c>
      <c r="AX51" s="460">
        <v>0</v>
      </c>
      <c r="AY51" s="460">
        <v>0</v>
      </c>
    </row>
    <row r="52" spans="1:51" x14ac:dyDescent="0.2">
      <c r="A52" s="588" t="s">
        <v>325</v>
      </c>
      <c r="B52" s="588" t="s">
        <v>230</v>
      </c>
      <c r="C52" s="588" t="s">
        <v>18</v>
      </c>
      <c r="D52" s="588">
        <v>2019644.1138124999</v>
      </c>
      <c r="E52" s="588">
        <v>466.23121902593698</v>
      </c>
      <c r="F52" s="589">
        <v>0.40537716140215901</v>
      </c>
      <c r="G52" s="589">
        <v>0.56716170816256195</v>
      </c>
      <c r="H52" s="588">
        <v>0</v>
      </c>
      <c r="I52" s="588">
        <v>497154.97755795898</v>
      </c>
      <c r="J52" s="588">
        <v>1226401.05288208</v>
      </c>
      <c r="K52" s="588">
        <v>876566.54249208001</v>
      </c>
      <c r="L52" s="460">
        <v>639691.79515878297</v>
      </c>
      <c r="M52" s="460">
        <v>255522.23806761601</v>
      </c>
      <c r="N52" s="460">
        <v>895214.03322639898</v>
      </c>
      <c r="O52" s="588">
        <v>50754.186468254098</v>
      </c>
      <c r="P52" s="588">
        <v>17989.4862134293</v>
      </c>
      <c r="Q52" s="588">
        <v>7368.0580031536101</v>
      </c>
      <c r="R52" s="588">
        <v>544894.51880694204</v>
      </c>
      <c r="S52" s="592">
        <v>0</v>
      </c>
      <c r="T52" s="592">
        <v>0</v>
      </c>
      <c r="U52" s="592">
        <v>18685.5456670038</v>
      </c>
      <c r="V52" s="592">
        <v>0</v>
      </c>
      <c r="W52" s="592">
        <v>0</v>
      </c>
      <c r="X52" s="592">
        <v>0</v>
      </c>
      <c r="Y52" s="592">
        <v>0</v>
      </c>
      <c r="Z52" s="592">
        <v>0</v>
      </c>
      <c r="AA52" s="592">
        <v>255522.23806761601</v>
      </c>
      <c r="AB52" s="592">
        <v>0</v>
      </c>
      <c r="AC52" s="592">
        <v>816442.86464402499</v>
      </c>
      <c r="AD52" s="592">
        <v>0</v>
      </c>
      <c r="AE52" s="592">
        <v>336552.38931923598</v>
      </c>
      <c r="AF52" s="592">
        <v>8014885.1385805104</v>
      </c>
      <c r="AG52" s="592">
        <v>5638857.1768835597</v>
      </c>
      <c r="AH52" s="592">
        <v>0</v>
      </c>
      <c r="AI52" s="592">
        <v>0</v>
      </c>
      <c r="AJ52" s="460">
        <v>0</v>
      </c>
      <c r="AK52" s="460">
        <v>0.217491065017519</v>
      </c>
      <c r="AL52" s="460">
        <v>0.104047547103784</v>
      </c>
      <c r="AM52" s="460">
        <v>0.15545109851080399</v>
      </c>
      <c r="AN52" s="460">
        <v>4.2007580597068897E-2</v>
      </c>
      <c r="AO52" s="460">
        <v>0.30916912438614003</v>
      </c>
      <c r="AP52" s="460">
        <v>-0.129325154450385</v>
      </c>
      <c r="AQ52" s="460">
        <v>-1.5881636536649601E-2</v>
      </c>
      <c r="AR52" s="460">
        <v>-6.7285187943669694E-2</v>
      </c>
      <c r="AS52" s="460">
        <v>4.6158329970065297E-2</v>
      </c>
      <c r="AT52" s="460">
        <v>0</v>
      </c>
      <c r="AU52" s="460">
        <v>0</v>
      </c>
      <c r="AV52" s="460">
        <v>0</v>
      </c>
      <c r="AW52" s="460">
        <v>0</v>
      </c>
      <c r="AX52" s="460">
        <v>-0.22100321381900601</v>
      </c>
      <c r="AY52" s="460">
        <v>0</v>
      </c>
    </row>
    <row r="53" spans="1:51" x14ac:dyDescent="0.2">
      <c r="A53" s="588" t="s">
        <v>326</v>
      </c>
      <c r="B53" s="588" t="s">
        <v>230</v>
      </c>
      <c r="C53" s="588" t="s">
        <v>19</v>
      </c>
      <c r="D53" s="588">
        <v>0</v>
      </c>
      <c r="E53" s="588">
        <v>0</v>
      </c>
      <c r="F53" s="589">
        <v>0</v>
      </c>
      <c r="G53" s="589">
        <v>0</v>
      </c>
      <c r="H53" s="588">
        <v>0</v>
      </c>
      <c r="I53" s="588">
        <v>0</v>
      </c>
      <c r="J53" s="588">
        <v>208774.69094082</v>
      </c>
      <c r="K53" s="588">
        <v>208774.69094082</v>
      </c>
      <c r="L53" s="460">
        <v>208774.69094082</v>
      </c>
      <c r="M53" s="460">
        <v>0</v>
      </c>
      <c r="N53" s="460">
        <v>208774.69094082</v>
      </c>
      <c r="O53" s="588">
        <v>9713.4969307067204</v>
      </c>
      <c r="P53" s="588">
        <v>7974.9916694849899</v>
      </c>
      <c r="Q53" s="588">
        <v>9549.9894098704699</v>
      </c>
      <c r="R53" s="588">
        <v>145099.401256729</v>
      </c>
      <c r="S53" s="592">
        <v>0</v>
      </c>
      <c r="T53" s="592">
        <v>0</v>
      </c>
      <c r="U53" s="592">
        <v>36436.811674029297</v>
      </c>
      <c r="V53" s="592">
        <v>0</v>
      </c>
      <c r="W53" s="592">
        <v>0</v>
      </c>
      <c r="X53" s="592">
        <v>0</v>
      </c>
      <c r="Y53" s="592">
        <v>0</v>
      </c>
      <c r="Z53" s="592">
        <v>0</v>
      </c>
      <c r="AA53" s="592">
        <v>0</v>
      </c>
      <c r="AB53" s="592">
        <v>0</v>
      </c>
      <c r="AC53" s="592">
        <v>0</v>
      </c>
      <c r="AD53" s="592">
        <v>0</v>
      </c>
      <c r="AE53" s="592">
        <v>0</v>
      </c>
      <c r="AF53" s="592">
        <v>0</v>
      </c>
      <c r="AG53" s="592">
        <v>0</v>
      </c>
      <c r="AH53" s="592">
        <v>0</v>
      </c>
      <c r="AI53" s="592">
        <v>0</v>
      </c>
      <c r="AJ53" s="460">
        <v>0</v>
      </c>
      <c r="AK53" s="460">
        <v>0</v>
      </c>
      <c r="AL53" s="460">
        <v>0</v>
      </c>
      <c r="AM53" s="460">
        <v>0</v>
      </c>
      <c r="AN53" s="460">
        <v>0</v>
      </c>
      <c r="AO53" s="460">
        <v>0</v>
      </c>
      <c r="AP53" s="460">
        <v>0</v>
      </c>
      <c r="AQ53" s="460">
        <v>0</v>
      </c>
      <c r="AR53" s="460">
        <v>0</v>
      </c>
      <c r="AS53" s="460">
        <v>0</v>
      </c>
      <c r="AT53" s="460">
        <v>0</v>
      </c>
      <c r="AU53" s="460">
        <v>0</v>
      </c>
      <c r="AV53" s="460">
        <v>0</v>
      </c>
      <c r="AW53" s="460">
        <v>0</v>
      </c>
      <c r="AX53" s="460">
        <v>0</v>
      </c>
      <c r="AY53" s="460">
        <v>0</v>
      </c>
    </row>
    <row r="54" spans="1:51" x14ac:dyDescent="0.2">
      <c r="A54" s="588" t="s">
        <v>327</v>
      </c>
      <c r="B54" s="588" t="s">
        <v>230</v>
      </c>
      <c r="C54" s="588" t="s">
        <v>81</v>
      </c>
      <c r="D54" s="588">
        <v>0</v>
      </c>
      <c r="E54" s="588">
        <v>0</v>
      </c>
      <c r="F54" s="589">
        <v>0</v>
      </c>
      <c r="G54" s="589">
        <v>0</v>
      </c>
      <c r="H54" s="588">
        <v>0</v>
      </c>
      <c r="I54" s="588">
        <v>0</v>
      </c>
      <c r="J54" s="588">
        <v>67485.738071759304</v>
      </c>
      <c r="K54" s="588">
        <v>67485.738071759304</v>
      </c>
      <c r="L54" s="460">
        <v>67485.738071759304</v>
      </c>
      <c r="M54" s="460">
        <v>0</v>
      </c>
      <c r="N54" s="460">
        <v>67485.738071759304</v>
      </c>
      <c r="O54" s="588">
        <v>3146.0300860908901</v>
      </c>
      <c r="P54" s="588">
        <v>23714.6969077947</v>
      </c>
      <c r="Q54" s="588">
        <v>0</v>
      </c>
      <c r="R54" s="588">
        <v>40625.0110778737</v>
      </c>
      <c r="S54" s="592">
        <v>0</v>
      </c>
      <c r="T54" s="592">
        <v>0</v>
      </c>
      <c r="U54" s="592">
        <v>0</v>
      </c>
      <c r="V54" s="592">
        <v>0</v>
      </c>
      <c r="W54" s="592">
        <v>0</v>
      </c>
      <c r="X54" s="592">
        <v>0</v>
      </c>
      <c r="Y54" s="592">
        <v>0</v>
      </c>
      <c r="Z54" s="592">
        <v>0</v>
      </c>
      <c r="AA54" s="592">
        <v>0</v>
      </c>
      <c r="AB54" s="592">
        <v>0</v>
      </c>
      <c r="AC54" s="592">
        <v>0</v>
      </c>
      <c r="AD54" s="592">
        <v>0</v>
      </c>
      <c r="AE54" s="592">
        <v>0</v>
      </c>
      <c r="AF54" s="592">
        <v>0</v>
      </c>
      <c r="AG54" s="592">
        <v>0</v>
      </c>
      <c r="AH54" s="592">
        <v>0</v>
      </c>
      <c r="AI54" s="592">
        <v>0</v>
      </c>
      <c r="AJ54" s="460">
        <v>0</v>
      </c>
      <c r="AK54" s="460">
        <v>0</v>
      </c>
      <c r="AL54" s="460">
        <v>0</v>
      </c>
      <c r="AM54" s="460">
        <v>0</v>
      </c>
      <c r="AN54" s="460">
        <v>0</v>
      </c>
      <c r="AO54" s="460">
        <v>0</v>
      </c>
      <c r="AP54" s="460">
        <v>0</v>
      </c>
      <c r="AQ54" s="460">
        <v>0</v>
      </c>
      <c r="AR54" s="460">
        <v>0</v>
      </c>
      <c r="AS54" s="460">
        <v>0</v>
      </c>
      <c r="AT54" s="460">
        <v>0</v>
      </c>
      <c r="AU54" s="460">
        <v>0</v>
      </c>
      <c r="AV54" s="460">
        <v>0</v>
      </c>
      <c r="AW54" s="460">
        <v>0</v>
      </c>
      <c r="AX54" s="460">
        <v>0</v>
      </c>
      <c r="AY54" s="460">
        <v>0</v>
      </c>
    </row>
    <row r="55" spans="1:51" x14ac:dyDescent="0.2">
      <c r="A55" s="588" t="s">
        <v>332</v>
      </c>
      <c r="B55" s="588" t="s">
        <v>228</v>
      </c>
      <c r="C55" s="588" t="s">
        <v>71</v>
      </c>
      <c r="D55" s="588">
        <v>0</v>
      </c>
      <c r="E55" s="588">
        <v>0</v>
      </c>
      <c r="F55" s="589">
        <v>0</v>
      </c>
      <c r="G55" s="589">
        <v>0</v>
      </c>
      <c r="H55" s="588">
        <v>0</v>
      </c>
      <c r="I55" s="588">
        <v>0</v>
      </c>
      <c r="J55" s="588">
        <v>74803.886648866101</v>
      </c>
      <c r="K55" s="588">
        <v>74803.886648866101</v>
      </c>
      <c r="L55" s="460">
        <v>74803.886648866101</v>
      </c>
      <c r="M55" s="460">
        <v>0</v>
      </c>
      <c r="N55" s="460">
        <v>74803.886648866101</v>
      </c>
      <c r="O55" s="588">
        <v>3286.35783734606</v>
      </c>
      <c r="P55" s="588">
        <v>71517.528811519995</v>
      </c>
      <c r="Q55" s="588">
        <v>0</v>
      </c>
      <c r="R55" s="588">
        <v>0</v>
      </c>
      <c r="S55" s="592">
        <v>0</v>
      </c>
      <c r="T55" s="592">
        <v>0</v>
      </c>
      <c r="U55" s="592">
        <v>0</v>
      </c>
      <c r="V55" s="592">
        <v>0</v>
      </c>
      <c r="W55" s="592">
        <v>0</v>
      </c>
      <c r="X55" s="592">
        <v>0</v>
      </c>
      <c r="Y55" s="592">
        <v>0</v>
      </c>
      <c r="Z55" s="592">
        <v>0</v>
      </c>
      <c r="AA55" s="592">
        <v>0</v>
      </c>
      <c r="AB55" s="592">
        <v>0</v>
      </c>
      <c r="AC55" s="592">
        <v>0</v>
      </c>
      <c r="AD55" s="592">
        <v>0</v>
      </c>
      <c r="AE55" s="592">
        <v>0</v>
      </c>
      <c r="AF55" s="592">
        <v>0</v>
      </c>
      <c r="AG55" s="592">
        <v>0</v>
      </c>
      <c r="AH55" s="592">
        <v>0</v>
      </c>
      <c r="AI55" s="592">
        <v>0</v>
      </c>
      <c r="AJ55" s="460">
        <v>0</v>
      </c>
      <c r="AK55" s="460">
        <v>0</v>
      </c>
      <c r="AL55" s="460">
        <v>0</v>
      </c>
      <c r="AM55" s="460">
        <v>0</v>
      </c>
      <c r="AN55" s="460">
        <v>0</v>
      </c>
      <c r="AO55" s="460">
        <v>0</v>
      </c>
      <c r="AP55" s="460">
        <v>0</v>
      </c>
      <c r="AQ55" s="460">
        <v>0</v>
      </c>
      <c r="AR55" s="460">
        <v>0</v>
      </c>
      <c r="AS55" s="460">
        <v>0</v>
      </c>
      <c r="AT55" s="460">
        <v>0</v>
      </c>
      <c r="AU55" s="460">
        <v>0</v>
      </c>
      <c r="AV55" s="460">
        <v>0</v>
      </c>
      <c r="AW55" s="460">
        <v>0</v>
      </c>
      <c r="AX55" s="460">
        <v>0</v>
      </c>
      <c r="AY55" s="460">
        <v>0</v>
      </c>
    </row>
    <row r="56" spans="1:51" x14ac:dyDescent="0.2">
      <c r="A56" s="588" t="s">
        <v>335</v>
      </c>
      <c r="B56" s="588" t="s">
        <v>228</v>
      </c>
      <c r="C56" s="588" t="s">
        <v>5</v>
      </c>
      <c r="D56" s="588">
        <v>0</v>
      </c>
      <c r="E56" s="588">
        <v>0</v>
      </c>
      <c r="F56" s="589">
        <v>0</v>
      </c>
      <c r="G56" s="589">
        <v>0</v>
      </c>
      <c r="H56" s="588">
        <v>0</v>
      </c>
      <c r="I56" s="588">
        <v>0</v>
      </c>
      <c r="J56" s="588">
        <v>999999.999999539</v>
      </c>
      <c r="K56" s="588">
        <v>999999.999999539</v>
      </c>
      <c r="L56" s="460">
        <v>999999.999999539</v>
      </c>
      <c r="M56" s="460">
        <v>0</v>
      </c>
      <c r="N56" s="460">
        <v>999999.999999539</v>
      </c>
      <c r="O56" s="588">
        <v>0</v>
      </c>
      <c r="P56" s="588">
        <v>0</v>
      </c>
      <c r="Q56" s="588">
        <v>0</v>
      </c>
      <c r="R56" s="588">
        <v>999999.999999539</v>
      </c>
      <c r="S56" s="592">
        <v>0</v>
      </c>
      <c r="T56" s="592">
        <v>0</v>
      </c>
      <c r="U56" s="592">
        <v>0</v>
      </c>
      <c r="V56" s="592">
        <v>0</v>
      </c>
      <c r="W56" s="592">
        <v>0</v>
      </c>
      <c r="X56" s="592">
        <v>0</v>
      </c>
      <c r="Y56" s="592">
        <v>0</v>
      </c>
      <c r="Z56" s="592">
        <v>0</v>
      </c>
      <c r="AA56" s="592">
        <v>0</v>
      </c>
      <c r="AB56" s="592">
        <v>0</v>
      </c>
      <c r="AC56" s="592">
        <v>0</v>
      </c>
      <c r="AD56" s="592">
        <v>0</v>
      </c>
      <c r="AE56" s="592">
        <v>0</v>
      </c>
      <c r="AF56" s="592">
        <v>0</v>
      </c>
      <c r="AG56" s="592">
        <v>0</v>
      </c>
      <c r="AH56" s="592">
        <v>0</v>
      </c>
      <c r="AI56" s="592">
        <v>0</v>
      </c>
      <c r="AJ56" s="460">
        <v>0</v>
      </c>
      <c r="AK56" s="460">
        <v>0</v>
      </c>
      <c r="AL56" s="460">
        <v>0</v>
      </c>
      <c r="AM56" s="460">
        <v>0</v>
      </c>
      <c r="AN56" s="460">
        <v>0</v>
      </c>
      <c r="AO56" s="460">
        <v>0</v>
      </c>
      <c r="AP56" s="460">
        <v>0</v>
      </c>
      <c r="AQ56" s="460">
        <v>0</v>
      </c>
      <c r="AR56" s="460">
        <v>0</v>
      </c>
      <c r="AS56" s="460">
        <v>0</v>
      </c>
      <c r="AT56" s="460">
        <v>0</v>
      </c>
      <c r="AU56" s="460">
        <v>0</v>
      </c>
      <c r="AV56" s="460">
        <v>0</v>
      </c>
      <c r="AW56" s="460">
        <v>0</v>
      </c>
      <c r="AX56" s="460">
        <v>0</v>
      </c>
      <c r="AY56" s="460">
        <v>0</v>
      </c>
    </row>
    <row r="57" spans="1:51" x14ac:dyDescent="0.2">
      <c r="A57" s="588" t="s">
        <v>336</v>
      </c>
      <c r="B57" s="588" t="s">
        <v>229</v>
      </c>
      <c r="C57" s="588" t="s">
        <v>93</v>
      </c>
      <c r="D57" s="588">
        <v>0</v>
      </c>
      <c r="E57" s="588">
        <v>0</v>
      </c>
      <c r="F57" s="589">
        <v>0</v>
      </c>
      <c r="G57" s="589">
        <v>0</v>
      </c>
      <c r="H57" s="588">
        <v>0</v>
      </c>
      <c r="I57" s="588">
        <v>0</v>
      </c>
      <c r="J57" s="588">
        <v>144430.275288137</v>
      </c>
      <c r="K57" s="588">
        <v>144430.275288137</v>
      </c>
      <c r="L57" s="460">
        <v>144430.275288137</v>
      </c>
      <c r="M57" s="460">
        <v>0</v>
      </c>
      <c r="N57" s="460">
        <v>144430.275288137</v>
      </c>
      <c r="O57" s="588">
        <v>5469.3696455811796</v>
      </c>
      <c r="P57" s="588">
        <v>0</v>
      </c>
      <c r="Q57" s="588">
        <v>0</v>
      </c>
      <c r="R57" s="588">
        <v>138960.905642556</v>
      </c>
      <c r="S57" s="592">
        <v>0</v>
      </c>
      <c r="T57" s="592">
        <v>0</v>
      </c>
      <c r="U57" s="592">
        <v>0</v>
      </c>
      <c r="V57" s="592">
        <v>0</v>
      </c>
      <c r="W57" s="592">
        <v>0</v>
      </c>
      <c r="X57" s="592">
        <v>0</v>
      </c>
      <c r="Y57" s="592">
        <v>0</v>
      </c>
      <c r="Z57" s="592">
        <v>0</v>
      </c>
      <c r="AA57" s="592">
        <v>0</v>
      </c>
      <c r="AB57" s="592">
        <v>0</v>
      </c>
      <c r="AC57" s="592">
        <v>0</v>
      </c>
      <c r="AD57" s="592">
        <v>0</v>
      </c>
      <c r="AE57" s="592">
        <v>0</v>
      </c>
      <c r="AF57" s="592">
        <v>0</v>
      </c>
      <c r="AG57" s="592">
        <v>0</v>
      </c>
      <c r="AH57" s="592">
        <v>0</v>
      </c>
      <c r="AI57" s="592">
        <v>0</v>
      </c>
      <c r="AJ57" s="460">
        <v>0</v>
      </c>
      <c r="AK57" s="460">
        <v>0</v>
      </c>
      <c r="AL57" s="460">
        <v>0</v>
      </c>
      <c r="AM57" s="460">
        <v>0</v>
      </c>
      <c r="AN57" s="460">
        <v>0</v>
      </c>
      <c r="AO57" s="460">
        <v>0</v>
      </c>
      <c r="AP57" s="460">
        <v>0</v>
      </c>
      <c r="AQ57" s="460">
        <v>0</v>
      </c>
      <c r="AR57" s="460">
        <v>0</v>
      </c>
      <c r="AS57" s="460">
        <v>0</v>
      </c>
      <c r="AT57" s="460">
        <v>0</v>
      </c>
      <c r="AU57" s="460">
        <v>0</v>
      </c>
      <c r="AV57" s="460">
        <v>0</v>
      </c>
      <c r="AW57" s="460">
        <v>0</v>
      </c>
      <c r="AX57" s="460">
        <v>0</v>
      </c>
      <c r="AY57" s="460">
        <v>0</v>
      </c>
    </row>
    <row r="58" spans="1:51" x14ac:dyDescent="0.2">
      <c r="A58" s="588" t="s">
        <v>341</v>
      </c>
      <c r="B58" s="588" t="s">
        <v>229</v>
      </c>
      <c r="C58" s="588" t="s">
        <v>82</v>
      </c>
      <c r="D58" s="588">
        <v>0</v>
      </c>
      <c r="E58" s="588">
        <v>0</v>
      </c>
      <c r="F58" s="589">
        <v>0</v>
      </c>
      <c r="G58" s="589">
        <v>0</v>
      </c>
      <c r="H58" s="588">
        <v>0</v>
      </c>
      <c r="I58" s="588">
        <v>0</v>
      </c>
      <c r="J58" s="588">
        <v>1494232.9365027801</v>
      </c>
      <c r="K58" s="588">
        <v>1494232.9365027801</v>
      </c>
      <c r="L58" s="460">
        <v>1494232.9365027801</v>
      </c>
      <c r="M58" s="460">
        <v>0</v>
      </c>
      <c r="N58" s="460">
        <v>1494232.9365027801</v>
      </c>
      <c r="O58" s="588">
        <v>65327.203670020703</v>
      </c>
      <c r="P58" s="588">
        <v>107594.7262244</v>
      </c>
      <c r="Q58" s="588">
        <v>44810.850233690398</v>
      </c>
      <c r="R58" s="588">
        <v>779210.45000332803</v>
      </c>
      <c r="S58" s="592">
        <v>0</v>
      </c>
      <c r="T58" s="592">
        <v>0</v>
      </c>
      <c r="U58" s="592">
        <v>497289.706371343</v>
      </c>
      <c r="V58" s="592">
        <v>0</v>
      </c>
      <c r="W58" s="592">
        <v>0</v>
      </c>
      <c r="X58" s="592">
        <v>0</v>
      </c>
      <c r="Y58" s="592">
        <v>0</v>
      </c>
      <c r="Z58" s="592">
        <v>0</v>
      </c>
      <c r="AA58" s="592">
        <v>0</v>
      </c>
      <c r="AB58" s="592">
        <v>0</v>
      </c>
      <c r="AC58" s="592">
        <v>0</v>
      </c>
      <c r="AD58" s="592">
        <v>0</v>
      </c>
      <c r="AE58" s="592">
        <v>0</v>
      </c>
      <c r="AF58" s="592">
        <v>0</v>
      </c>
      <c r="AG58" s="592">
        <v>0</v>
      </c>
      <c r="AH58" s="592">
        <v>0</v>
      </c>
      <c r="AI58" s="592">
        <v>0</v>
      </c>
      <c r="AJ58" s="460">
        <v>0</v>
      </c>
      <c r="AK58" s="460">
        <v>0</v>
      </c>
      <c r="AL58" s="460">
        <v>0</v>
      </c>
      <c r="AM58" s="460">
        <v>0</v>
      </c>
      <c r="AN58" s="460">
        <v>0</v>
      </c>
      <c r="AO58" s="460">
        <v>0</v>
      </c>
      <c r="AP58" s="460">
        <v>0</v>
      </c>
      <c r="AQ58" s="460">
        <v>0</v>
      </c>
      <c r="AR58" s="460">
        <v>0</v>
      </c>
      <c r="AS58" s="460">
        <v>0</v>
      </c>
      <c r="AT58" s="460">
        <v>0</v>
      </c>
      <c r="AU58" s="460">
        <v>0</v>
      </c>
      <c r="AV58" s="460">
        <v>0</v>
      </c>
      <c r="AW58" s="460">
        <v>0</v>
      </c>
      <c r="AX58" s="460">
        <v>0</v>
      </c>
      <c r="AY58" s="460">
        <v>0</v>
      </c>
    </row>
    <row r="59" spans="1:51" x14ac:dyDescent="0.2">
      <c r="A59" s="588" t="s">
        <v>347</v>
      </c>
      <c r="B59" s="588" t="s">
        <v>223</v>
      </c>
      <c r="C59" s="588" t="s">
        <v>348</v>
      </c>
      <c r="D59" s="588">
        <v>0</v>
      </c>
      <c r="E59" s="588">
        <v>0</v>
      </c>
      <c r="F59" s="589">
        <v>0</v>
      </c>
      <c r="G59" s="589">
        <v>0</v>
      </c>
      <c r="H59" s="588">
        <v>0</v>
      </c>
      <c r="I59" s="588">
        <v>0</v>
      </c>
      <c r="J59" s="588">
        <v>1647156.2440271899</v>
      </c>
      <c r="K59" s="588">
        <v>1647156.2440271899</v>
      </c>
      <c r="L59" s="460">
        <v>1647156.2440271899</v>
      </c>
      <c r="M59" s="460">
        <v>0</v>
      </c>
      <c r="N59" s="460">
        <v>1647156.2440271899</v>
      </c>
      <c r="O59" s="588">
        <v>66610.013743815696</v>
      </c>
      <c r="P59" s="588">
        <v>81508.6608657365</v>
      </c>
      <c r="Q59" s="588">
        <v>0</v>
      </c>
      <c r="R59" s="588">
        <v>1499037.5694176301</v>
      </c>
      <c r="S59" s="592">
        <v>0</v>
      </c>
      <c r="T59" s="592">
        <v>0</v>
      </c>
      <c r="U59" s="592">
        <v>0</v>
      </c>
      <c r="V59" s="592">
        <v>0</v>
      </c>
      <c r="W59" s="592">
        <v>0</v>
      </c>
      <c r="X59" s="592">
        <v>0</v>
      </c>
      <c r="Y59" s="592">
        <v>0</v>
      </c>
      <c r="Z59" s="592">
        <v>0</v>
      </c>
      <c r="AA59" s="592">
        <v>0</v>
      </c>
      <c r="AB59" s="592">
        <v>0</v>
      </c>
      <c r="AC59" s="592">
        <v>0</v>
      </c>
      <c r="AD59" s="592">
        <v>0</v>
      </c>
      <c r="AE59" s="592">
        <v>0</v>
      </c>
      <c r="AF59" s="592">
        <v>0</v>
      </c>
      <c r="AG59" s="592">
        <v>0</v>
      </c>
      <c r="AH59" s="592">
        <v>0</v>
      </c>
      <c r="AI59" s="592">
        <v>0</v>
      </c>
      <c r="AJ59" s="460">
        <v>0</v>
      </c>
      <c r="AK59" s="460">
        <v>0</v>
      </c>
      <c r="AL59" s="460">
        <v>0</v>
      </c>
      <c r="AM59" s="460">
        <v>0</v>
      </c>
      <c r="AN59" s="460">
        <v>0</v>
      </c>
      <c r="AO59" s="460">
        <v>0</v>
      </c>
      <c r="AP59" s="460">
        <v>0</v>
      </c>
      <c r="AQ59" s="460">
        <v>0</v>
      </c>
      <c r="AR59" s="460">
        <v>0</v>
      </c>
      <c r="AS59" s="460">
        <v>0</v>
      </c>
      <c r="AT59" s="460">
        <v>0</v>
      </c>
      <c r="AU59" s="460">
        <v>0</v>
      </c>
      <c r="AV59" s="460">
        <v>0</v>
      </c>
      <c r="AW59" s="460">
        <v>0</v>
      </c>
      <c r="AX59" s="460">
        <v>0</v>
      </c>
      <c r="AY59" s="460">
        <v>0</v>
      </c>
    </row>
    <row r="60" spans="1:51" x14ac:dyDescent="0.2">
      <c r="A60" s="588" t="s">
        <v>349</v>
      </c>
      <c r="B60" s="588" t="s">
        <v>223</v>
      </c>
      <c r="C60" s="588" t="s">
        <v>350</v>
      </c>
      <c r="D60" s="588">
        <v>0</v>
      </c>
      <c r="E60" s="588">
        <v>0</v>
      </c>
      <c r="F60" s="589">
        <v>0</v>
      </c>
      <c r="G60" s="589">
        <v>0</v>
      </c>
      <c r="H60" s="588">
        <v>0</v>
      </c>
      <c r="I60" s="588">
        <v>0</v>
      </c>
      <c r="J60" s="588">
        <v>1647156.24402883</v>
      </c>
      <c r="K60" s="588">
        <v>1647156.24402883</v>
      </c>
      <c r="L60" s="460">
        <v>1647156.24402883</v>
      </c>
      <c r="M60" s="460">
        <v>0</v>
      </c>
      <c r="N60" s="460">
        <v>1647156.24402883</v>
      </c>
      <c r="O60" s="588">
        <v>66610.013743882402</v>
      </c>
      <c r="P60" s="588">
        <v>81508.660865817903</v>
      </c>
      <c r="Q60" s="588">
        <v>0</v>
      </c>
      <c r="R60" s="588">
        <v>1499037.56941913</v>
      </c>
      <c r="S60" s="592">
        <v>0</v>
      </c>
      <c r="T60" s="592">
        <v>0</v>
      </c>
      <c r="U60" s="592">
        <v>0</v>
      </c>
      <c r="V60" s="592">
        <v>0</v>
      </c>
      <c r="W60" s="592">
        <v>0</v>
      </c>
      <c r="X60" s="592">
        <v>0</v>
      </c>
      <c r="Y60" s="592">
        <v>0</v>
      </c>
      <c r="Z60" s="592">
        <v>0</v>
      </c>
      <c r="AA60" s="592">
        <v>0</v>
      </c>
      <c r="AB60" s="592">
        <v>0</v>
      </c>
      <c r="AC60" s="592">
        <v>0</v>
      </c>
      <c r="AD60" s="592">
        <v>0</v>
      </c>
      <c r="AE60" s="592">
        <v>0</v>
      </c>
      <c r="AF60" s="592">
        <v>0</v>
      </c>
      <c r="AG60" s="592">
        <v>0</v>
      </c>
      <c r="AH60" s="592">
        <v>0</v>
      </c>
      <c r="AI60" s="592">
        <v>0</v>
      </c>
      <c r="AJ60" s="460">
        <v>0</v>
      </c>
      <c r="AK60" s="460">
        <v>0</v>
      </c>
      <c r="AL60" s="460">
        <v>0</v>
      </c>
      <c r="AM60" s="460">
        <v>0</v>
      </c>
      <c r="AN60" s="460">
        <v>0</v>
      </c>
      <c r="AO60" s="460">
        <v>0</v>
      </c>
      <c r="AP60" s="460">
        <v>0</v>
      </c>
      <c r="AQ60" s="460">
        <v>0</v>
      </c>
      <c r="AR60" s="460">
        <v>0</v>
      </c>
      <c r="AS60" s="460">
        <v>0</v>
      </c>
      <c r="AT60" s="460">
        <v>0</v>
      </c>
      <c r="AU60" s="460">
        <v>0</v>
      </c>
      <c r="AV60" s="460">
        <v>0</v>
      </c>
      <c r="AW60" s="460">
        <v>0</v>
      </c>
      <c r="AX60" s="460">
        <v>0</v>
      </c>
      <c r="AY60" s="460">
        <v>0</v>
      </c>
    </row>
    <row r="61" spans="1:51" x14ac:dyDescent="0.2">
      <c r="A61" s="588" t="s">
        <v>351</v>
      </c>
      <c r="B61" s="588" t="s">
        <v>223</v>
      </c>
      <c r="C61" s="588" t="s">
        <v>352</v>
      </c>
      <c r="D61" s="588">
        <v>0</v>
      </c>
      <c r="E61" s="588">
        <v>0</v>
      </c>
      <c r="F61" s="589">
        <v>0</v>
      </c>
      <c r="G61" s="589">
        <v>0</v>
      </c>
      <c r="H61" s="588">
        <v>0</v>
      </c>
      <c r="I61" s="588">
        <v>0</v>
      </c>
      <c r="J61" s="588">
        <v>772104.09377572301</v>
      </c>
      <c r="K61" s="588">
        <v>772104.09377572301</v>
      </c>
      <c r="L61" s="460">
        <v>772104.09377572301</v>
      </c>
      <c r="M61" s="460">
        <v>0</v>
      </c>
      <c r="N61" s="460">
        <v>772104.09377572301</v>
      </c>
      <c r="O61" s="588">
        <v>31223.3557539715</v>
      </c>
      <c r="P61" s="588">
        <v>38207.076867282398</v>
      </c>
      <c r="Q61" s="588">
        <v>0</v>
      </c>
      <c r="R61" s="588">
        <v>702673.66115447006</v>
      </c>
      <c r="S61" s="592">
        <v>0</v>
      </c>
      <c r="T61" s="592">
        <v>0</v>
      </c>
      <c r="U61" s="592">
        <v>0</v>
      </c>
      <c r="V61" s="592">
        <v>0</v>
      </c>
      <c r="W61" s="592">
        <v>0</v>
      </c>
      <c r="X61" s="592">
        <v>0</v>
      </c>
      <c r="Y61" s="592">
        <v>0</v>
      </c>
      <c r="Z61" s="592">
        <v>0</v>
      </c>
      <c r="AA61" s="592">
        <v>0</v>
      </c>
      <c r="AB61" s="592">
        <v>0</v>
      </c>
      <c r="AC61" s="592">
        <v>0</v>
      </c>
      <c r="AD61" s="592">
        <v>0</v>
      </c>
      <c r="AE61" s="592">
        <v>0</v>
      </c>
      <c r="AF61" s="592">
        <v>0</v>
      </c>
      <c r="AG61" s="592">
        <v>0</v>
      </c>
      <c r="AH61" s="592">
        <v>0</v>
      </c>
      <c r="AI61" s="592">
        <v>0</v>
      </c>
      <c r="AJ61" s="460">
        <v>0</v>
      </c>
      <c r="AK61" s="460">
        <v>0</v>
      </c>
      <c r="AL61" s="460">
        <v>0</v>
      </c>
      <c r="AM61" s="460">
        <v>0</v>
      </c>
      <c r="AN61" s="460">
        <v>0</v>
      </c>
      <c r="AO61" s="460">
        <v>0</v>
      </c>
      <c r="AP61" s="460">
        <v>0</v>
      </c>
      <c r="AQ61" s="460">
        <v>0</v>
      </c>
      <c r="AR61" s="460">
        <v>0</v>
      </c>
      <c r="AS61" s="460">
        <v>0</v>
      </c>
      <c r="AT61" s="460">
        <v>0</v>
      </c>
      <c r="AU61" s="460">
        <v>0</v>
      </c>
      <c r="AV61" s="460">
        <v>0</v>
      </c>
      <c r="AW61" s="460">
        <v>0</v>
      </c>
      <c r="AX61" s="460">
        <v>0</v>
      </c>
      <c r="AY61" s="460">
        <v>0</v>
      </c>
    </row>
    <row r="62" spans="1:51" x14ac:dyDescent="0.2">
      <c r="A62" s="588" t="s">
        <v>353</v>
      </c>
      <c r="B62" s="588" t="s">
        <v>223</v>
      </c>
      <c r="C62" s="588" t="s">
        <v>354</v>
      </c>
      <c r="D62" s="588">
        <v>0</v>
      </c>
      <c r="E62" s="588">
        <v>0</v>
      </c>
      <c r="F62" s="589">
        <v>0</v>
      </c>
      <c r="G62" s="589">
        <v>0</v>
      </c>
      <c r="H62" s="588">
        <v>0</v>
      </c>
      <c r="I62" s="588">
        <v>0</v>
      </c>
      <c r="J62" s="588">
        <v>514736.36133931001</v>
      </c>
      <c r="K62" s="588">
        <v>514736.36133931001</v>
      </c>
      <c r="L62" s="460">
        <v>514736.36133931001</v>
      </c>
      <c r="M62" s="460">
        <v>0</v>
      </c>
      <c r="N62" s="460">
        <v>514736.36133931001</v>
      </c>
      <c r="O62" s="588">
        <v>20815.7048850832</v>
      </c>
      <c r="P62" s="588">
        <v>25471.5490179136</v>
      </c>
      <c r="Q62" s="588">
        <v>0</v>
      </c>
      <c r="R62" s="588">
        <v>468449.107436313</v>
      </c>
      <c r="S62" s="592">
        <v>0</v>
      </c>
      <c r="T62" s="592">
        <v>0</v>
      </c>
      <c r="U62" s="592">
        <v>0</v>
      </c>
      <c r="V62" s="592">
        <v>0</v>
      </c>
      <c r="W62" s="592">
        <v>0</v>
      </c>
      <c r="X62" s="592">
        <v>0</v>
      </c>
      <c r="Y62" s="592">
        <v>0</v>
      </c>
      <c r="Z62" s="592">
        <v>0</v>
      </c>
      <c r="AA62" s="592">
        <v>0</v>
      </c>
      <c r="AB62" s="592">
        <v>0</v>
      </c>
      <c r="AC62" s="592">
        <v>0</v>
      </c>
      <c r="AD62" s="592">
        <v>0</v>
      </c>
      <c r="AE62" s="592">
        <v>0</v>
      </c>
      <c r="AF62" s="592">
        <v>0</v>
      </c>
      <c r="AG62" s="592">
        <v>0</v>
      </c>
      <c r="AH62" s="592">
        <v>0</v>
      </c>
      <c r="AI62" s="592">
        <v>0</v>
      </c>
      <c r="AJ62" s="460">
        <v>0</v>
      </c>
      <c r="AK62" s="460">
        <v>0</v>
      </c>
      <c r="AL62" s="460">
        <v>0</v>
      </c>
      <c r="AM62" s="460">
        <v>0</v>
      </c>
      <c r="AN62" s="460">
        <v>0</v>
      </c>
      <c r="AO62" s="460">
        <v>0</v>
      </c>
      <c r="AP62" s="460">
        <v>0</v>
      </c>
      <c r="AQ62" s="460">
        <v>0</v>
      </c>
      <c r="AR62" s="460">
        <v>0</v>
      </c>
      <c r="AS62" s="460">
        <v>0</v>
      </c>
      <c r="AT62" s="460">
        <v>0</v>
      </c>
      <c r="AU62" s="460">
        <v>0</v>
      </c>
      <c r="AV62" s="460">
        <v>0</v>
      </c>
      <c r="AW62" s="460">
        <v>0</v>
      </c>
      <c r="AX62" s="460">
        <v>0</v>
      </c>
      <c r="AY62" s="460">
        <v>0</v>
      </c>
    </row>
    <row r="63" spans="1:51" x14ac:dyDescent="0.2">
      <c r="A63" s="588" t="s">
        <v>355</v>
      </c>
      <c r="B63" s="588" t="s">
        <v>223</v>
      </c>
      <c r="C63" s="588" t="s">
        <v>356</v>
      </c>
      <c r="D63" s="588">
        <v>0</v>
      </c>
      <c r="E63" s="588">
        <v>0</v>
      </c>
      <c r="F63" s="589">
        <v>0</v>
      </c>
      <c r="G63" s="589">
        <v>0</v>
      </c>
      <c r="H63" s="588">
        <v>0</v>
      </c>
      <c r="I63" s="588">
        <v>0</v>
      </c>
      <c r="J63" s="588">
        <v>1080095.05682731</v>
      </c>
      <c r="K63" s="588">
        <v>1080095.05682731</v>
      </c>
      <c r="L63" s="460">
        <v>1080095.05682731</v>
      </c>
      <c r="M63" s="460">
        <v>0</v>
      </c>
      <c r="N63" s="460">
        <v>1080095.05682731</v>
      </c>
      <c r="O63" s="588">
        <v>43712.859314482797</v>
      </c>
      <c r="P63" s="588">
        <v>53490.1049418658</v>
      </c>
      <c r="Q63" s="588">
        <v>0</v>
      </c>
      <c r="R63" s="588">
        <v>982892.09257095703</v>
      </c>
      <c r="S63" s="592">
        <v>0</v>
      </c>
      <c r="T63" s="592">
        <v>0</v>
      </c>
      <c r="U63" s="592">
        <v>0</v>
      </c>
      <c r="V63" s="592">
        <v>0</v>
      </c>
      <c r="W63" s="592">
        <v>0</v>
      </c>
      <c r="X63" s="592">
        <v>0</v>
      </c>
      <c r="Y63" s="592">
        <v>0</v>
      </c>
      <c r="Z63" s="592">
        <v>0</v>
      </c>
      <c r="AA63" s="592">
        <v>0</v>
      </c>
      <c r="AB63" s="592">
        <v>0</v>
      </c>
      <c r="AC63" s="592">
        <v>0</v>
      </c>
      <c r="AD63" s="592">
        <v>0</v>
      </c>
      <c r="AE63" s="592">
        <v>0</v>
      </c>
      <c r="AF63" s="592">
        <v>0</v>
      </c>
      <c r="AG63" s="592">
        <v>0</v>
      </c>
      <c r="AH63" s="592">
        <v>0</v>
      </c>
      <c r="AI63" s="592">
        <v>0</v>
      </c>
      <c r="AJ63" s="460">
        <v>0</v>
      </c>
      <c r="AK63" s="460">
        <v>0</v>
      </c>
      <c r="AL63" s="460">
        <v>0</v>
      </c>
      <c r="AM63" s="460">
        <v>0</v>
      </c>
      <c r="AN63" s="460">
        <v>0</v>
      </c>
      <c r="AO63" s="460">
        <v>0</v>
      </c>
      <c r="AP63" s="460">
        <v>0</v>
      </c>
      <c r="AQ63" s="460">
        <v>0</v>
      </c>
      <c r="AR63" s="460">
        <v>0</v>
      </c>
      <c r="AS63" s="460">
        <v>0</v>
      </c>
      <c r="AT63" s="460">
        <v>0</v>
      </c>
      <c r="AU63" s="460">
        <v>0</v>
      </c>
      <c r="AV63" s="460">
        <v>0</v>
      </c>
      <c r="AW63" s="460">
        <v>0</v>
      </c>
      <c r="AX63" s="460">
        <v>0</v>
      </c>
      <c r="AY63" s="460">
        <v>0</v>
      </c>
    </row>
    <row r="64" spans="1:51" x14ac:dyDescent="0.2">
      <c r="A64" s="588" t="s">
        <v>368</v>
      </c>
      <c r="B64" s="588" t="s">
        <v>224</v>
      </c>
      <c r="C64" s="588" t="s">
        <v>72</v>
      </c>
      <c r="D64" s="588">
        <v>0</v>
      </c>
      <c r="E64" s="588">
        <v>0</v>
      </c>
      <c r="F64" s="589">
        <v>0</v>
      </c>
      <c r="G64" s="589">
        <v>0</v>
      </c>
      <c r="H64" s="588">
        <v>0</v>
      </c>
      <c r="I64" s="588">
        <v>0</v>
      </c>
      <c r="J64" s="588">
        <v>4349569.9093552604</v>
      </c>
      <c r="K64" s="588">
        <v>4349569.9093552604</v>
      </c>
      <c r="L64" s="460">
        <v>4349569.9093552604</v>
      </c>
      <c r="M64" s="460">
        <v>0</v>
      </c>
      <c r="N64" s="460">
        <v>4349569.9093552604</v>
      </c>
      <c r="O64" s="588">
        <v>175920.465015211</v>
      </c>
      <c r="P64" s="588">
        <v>13887</v>
      </c>
      <c r="Q64" s="588">
        <v>0</v>
      </c>
      <c r="R64" s="588">
        <v>4159762.4443400502</v>
      </c>
      <c r="S64" s="592">
        <v>0</v>
      </c>
      <c r="T64" s="592">
        <v>0</v>
      </c>
      <c r="U64" s="592">
        <v>0</v>
      </c>
      <c r="V64" s="592">
        <v>0</v>
      </c>
      <c r="W64" s="592">
        <v>0</v>
      </c>
      <c r="X64" s="592">
        <v>0</v>
      </c>
      <c r="Y64" s="592">
        <v>0</v>
      </c>
      <c r="Z64" s="592">
        <v>0</v>
      </c>
      <c r="AA64" s="592">
        <v>0</v>
      </c>
      <c r="AB64" s="592">
        <v>0</v>
      </c>
      <c r="AC64" s="592">
        <v>0</v>
      </c>
      <c r="AD64" s="592">
        <v>0</v>
      </c>
      <c r="AE64" s="592">
        <v>0</v>
      </c>
      <c r="AF64" s="592">
        <v>0</v>
      </c>
      <c r="AG64" s="592">
        <v>0</v>
      </c>
      <c r="AH64" s="592">
        <v>0</v>
      </c>
      <c r="AI64" s="592">
        <v>0</v>
      </c>
      <c r="AJ64" s="460">
        <v>0</v>
      </c>
      <c r="AK64" s="460">
        <v>0</v>
      </c>
      <c r="AL64" s="460">
        <v>0</v>
      </c>
      <c r="AM64" s="460">
        <v>0</v>
      </c>
      <c r="AN64" s="460">
        <v>0</v>
      </c>
      <c r="AO64" s="460">
        <v>0</v>
      </c>
      <c r="AP64" s="460">
        <v>0</v>
      </c>
      <c r="AQ64" s="460">
        <v>0</v>
      </c>
      <c r="AR64" s="460">
        <v>0</v>
      </c>
      <c r="AS64" s="460">
        <v>0</v>
      </c>
      <c r="AT64" s="460">
        <v>0</v>
      </c>
      <c r="AU64" s="460">
        <v>0</v>
      </c>
      <c r="AV64" s="460">
        <v>0</v>
      </c>
      <c r="AW64" s="460">
        <v>0</v>
      </c>
      <c r="AX64" s="460">
        <v>0</v>
      </c>
      <c r="AY64" s="460">
        <v>0</v>
      </c>
    </row>
    <row r="65" spans="1:51" x14ac:dyDescent="0.2">
      <c r="A65" s="588" t="s">
        <v>369</v>
      </c>
      <c r="B65" s="588" t="s">
        <v>224</v>
      </c>
      <c r="C65" s="588" t="s">
        <v>6</v>
      </c>
      <c r="D65" s="588">
        <v>0</v>
      </c>
      <c r="E65" s="588">
        <v>0</v>
      </c>
      <c r="F65" s="589">
        <v>0</v>
      </c>
      <c r="G65" s="589">
        <v>0</v>
      </c>
      <c r="H65" s="588">
        <v>0</v>
      </c>
      <c r="I65" s="588">
        <v>0</v>
      </c>
      <c r="J65" s="588">
        <v>495536.33960299799</v>
      </c>
      <c r="K65" s="588">
        <v>495536.33960299799</v>
      </c>
      <c r="L65" s="460">
        <v>495536.33960299799</v>
      </c>
      <c r="M65" s="460">
        <v>0</v>
      </c>
      <c r="N65" s="460">
        <v>495536.33960299799</v>
      </c>
      <c r="O65" s="588">
        <v>21380.352862505501</v>
      </c>
      <c r="P65" s="588">
        <v>80000</v>
      </c>
      <c r="Q65" s="588">
        <v>0</v>
      </c>
      <c r="R65" s="588">
        <v>394155.98674049298</v>
      </c>
      <c r="S65" s="592">
        <v>0</v>
      </c>
      <c r="T65" s="592">
        <v>0</v>
      </c>
      <c r="U65" s="592">
        <v>0</v>
      </c>
      <c r="V65" s="592">
        <v>0</v>
      </c>
      <c r="W65" s="592">
        <v>0</v>
      </c>
      <c r="X65" s="592">
        <v>0</v>
      </c>
      <c r="Y65" s="592">
        <v>0</v>
      </c>
      <c r="Z65" s="592">
        <v>0</v>
      </c>
      <c r="AA65" s="592">
        <v>0</v>
      </c>
      <c r="AB65" s="592">
        <v>0</v>
      </c>
      <c r="AC65" s="592">
        <v>0</v>
      </c>
      <c r="AD65" s="592">
        <v>0</v>
      </c>
      <c r="AE65" s="592">
        <v>0</v>
      </c>
      <c r="AF65" s="592">
        <v>0</v>
      </c>
      <c r="AG65" s="592">
        <v>0</v>
      </c>
      <c r="AH65" s="592">
        <v>0</v>
      </c>
      <c r="AI65" s="592">
        <v>0</v>
      </c>
      <c r="AJ65" s="460">
        <v>0</v>
      </c>
      <c r="AK65" s="460">
        <v>0</v>
      </c>
      <c r="AL65" s="460">
        <v>0</v>
      </c>
      <c r="AM65" s="460">
        <v>0</v>
      </c>
      <c r="AN65" s="460">
        <v>0</v>
      </c>
      <c r="AO65" s="460">
        <v>0</v>
      </c>
      <c r="AP65" s="460">
        <v>0</v>
      </c>
      <c r="AQ65" s="460">
        <v>0</v>
      </c>
      <c r="AR65" s="460">
        <v>0</v>
      </c>
      <c r="AS65" s="460">
        <v>0</v>
      </c>
      <c r="AT65" s="460">
        <v>0</v>
      </c>
      <c r="AU65" s="460">
        <v>0</v>
      </c>
      <c r="AV65" s="460">
        <v>0</v>
      </c>
      <c r="AW65" s="460">
        <v>0</v>
      </c>
      <c r="AX65" s="460">
        <v>0</v>
      </c>
      <c r="AY65" s="460">
        <v>0</v>
      </c>
    </row>
    <row r="66" spans="1:51" x14ac:dyDescent="0.2">
      <c r="A66" s="588" t="s">
        <v>412</v>
      </c>
      <c r="B66" s="588" t="s">
        <v>228</v>
      </c>
      <c r="C66" s="588" t="s">
        <v>4</v>
      </c>
      <c r="D66" s="588">
        <v>11019372.5116203</v>
      </c>
      <c r="E66" s="588">
        <v>7481.73224024717</v>
      </c>
      <c r="F66" s="589">
        <v>2.1256790168162998</v>
      </c>
      <c r="G66" s="589">
        <v>2.2189739561432398</v>
      </c>
      <c r="H66" s="588">
        <v>465767.384351691</v>
      </c>
      <c r="I66" s="588">
        <v>8965400.5702519398</v>
      </c>
      <c r="J66" s="588">
        <v>4436778.9680348895</v>
      </c>
      <c r="K66" s="588">
        <v>4250238.2366829598</v>
      </c>
      <c r="L66" s="460">
        <v>519423.60964429699</v>
      </c>
      <c r="M66" s="460">
        <v>4024515.5469230302</v>
      </c>
      <c r="N66" s="460">
        <v>4543939.1565673202</v>
      </c>
      <c r="O66" s="588">
        <v>166275.079502415</v>
      </c>
      <c r="P66" s="588">
        <v>40710.23773696</v>
      </c>
      <c r="Q66" s="588">
        <v>20779.129967418299</v>
      </c>
      <c r="R66" s="588">
        <v>191659.16243750299</v>
      </c>
      <c r="S66" s="592">
        <v>0</v>
      </c>
      <c r="T66" s="592">
        <v>0</v>
      </c>
      <c r="U66" s="592">
        <v>99999.999999999898</v>
      </c>
      <c r="V66" s="592">
        <v>0</v>
      </c>
      <c r="W66" s="592">
        <v>0</v>
      </c>
      <c r="X66" s="592">
        <v>0</v>
      </c>
      <c r="Y66" s="592">
        <v>2272038.7521776501</v>
      </c>
      <c r="Z66" s="592">
        <v>1752476.79474537</v>
      </c>
      <c r="AA66" s="592">
        <v>0</v>
      </c>
      <c r="AB66" s="592">
        <v>0</v>
      </c>
      <c r="AC66" s="592">
        <v>4024515.5469230302</v>
      </c>
      <c r="AD66" s="592">
        <v>0</v>
      </c>
      <c r="AE66" s="592">
        <v>0</v>
      </c>
      <c r="AF66" s="592">
        <v>44791027.833960302</v>
      </c>
      <c r="AG66" s="592">
        <v>40311925.0505642</v>
      </c>
      <c r="AH66" s="592">
        <v>734301.43327812501</v>
      </c>
      <c r="AI66" s="592">
        <v>660871.28995031305</v>
      </c>
      <c r="AJ66" s="460">
        <v>0.70477775541847099</v>
      </c>
      <c r="AK66" s="460">
        <v>0.104625723693168</v>
      </c>
      <c r="AL66" s="460">
        <v>9.2376956861670703E-2</v>
      </c>
      <c r="AM66" s="460">
        <v>0.10022682098547001</v>
      </c>
      <c r="AN66" s="460">
        <v>8.7978054153972099E-2</v>
      </c>
      <c r="AO66" s="460">
        <v>0.263344185080641</v>
      </c>
      <c r="AP66" s="460">
        <v>0.117774981780619</v>
      </c>
      <c r="AQ66" s="460">
        <v>0.13002374861211699</v>
      </c>
      <c r="AR66" s="460">
        <v>0.12217388448831799</v>
      </c>
      <c r="AS66" s="460">
        <v>0.13442265131981501</v>
      </c>
      <c r="AT66" s="460">
        <v>0.373223579156225</v>
      </c>
      <c r="AU66" s="460">
        <v>0.41203936607451203</v>
      </c>
      <c r="AV66" s="460">
        <v>0.38716350245831899</v>
      </c>
      <c r="AW66" s="460">
        <v>0.42597928937660501</v>
      </c>
      <c r="AX66" s="460">
        <v>-4.0943479606853399E-2</v>
      </c>
      <c r="AY66" s="460">
        <v>-0.12974803112636701</v>
      </c>
    </row>
    <row r="67" spans="1:51" x14ac:dyDescent="0.2">
      <c r="A67" s="588" t="s">
        <v>417</v>
      </c>
      <c r="B67" s="588" t="s">
        <v>229</v>
      </c>
      <c r="C67" s="588" t="s">
        <v>24</v>
      </c>
      <c r="D67" s="588">
        <v>3200488.41224</v>
      </c>
      <c r="E67" s="588">
        <v>230.93771806000001</v>
      </c>
      <c r="F67" s="589">
        <v>1.3063837692728699</v>
      </c>
      <c r="G67" s="589">
        <v>2.06166710322276</v>
      </c>
      <c r="H67" s="588">
        <v>0</v>
      </c>
      <c r="I67" s="588">
        <v>2171181.05825757</v>
      </c>
      <c r="J67" s="588">
        <v>1661977.9802270799</v>
      </c>
      <c r="K67" s="588">
        <v>1053119.1261982201</v>
      </c>
      <c r="L67" s="460">
        <v>736627.40719343699</v>
      </c>
      <c r="M67" s="460">
        <v>341406.89659999998</v>
      </c>
      <c r="N67" s="460">
        <v>1078034.3037934401</v>
      </c>
      <c r="O67" s="588">
        <v>44681.175301397197</v>
      </c>
      <c r="P67" s="588">
        <v>108628.18993542901</v>
      </c>
      <c r="Q67" s="588">
        <v>24402.3446580649</v>
      </c>
      <c r="R67" s="588">
        <v>547699.82178534498</v>
      </c>
      <c r="S67" s="592">
        <v>0</v>
      </c>
      <c r="T67" s="592">
        <v>0</v>
      </c>
      <c r="U67" s="592">
        <v>11215.875513200701</v>
      </c>
      <c r="V67" s="592">
        <v>0</v>
      </c>
      <c r="W67" s="592">
        <v>0</v>
      </c>
      <c r="X67" s="592">
        <v>0</v>
      </c>
      <c r="Y67" s="592">
        <v>0</v>
      </c>
      <c r="Z67" s="592">
        <v>0</v>
      </c>
      <c r="AA67" s="592">
        <v>341406.89659999998</v>
      </c>
      <c r="AB67" s="592">
        <v>0</v>
      </c>
      <c r="AC67" s="592">
        <v>1291250.4795045201</v>
      </c>
      <c r="AD67" s="592">
        <v>0</v>
      </c>
      <c r="AE67" s="592">
        <v>592227.52561934502</v>
      </c>
      <c r="AF67" s="592">
        <v>21822334.612983301</v>
      </c>
      <c r="AG67" s="592">
        <v>14816069.4581795</v>
      </c>
      <c r="AH67" s="592">
        <v>0</v>
      </c>
      <c r="AI67" s="592">
        <v>0</v>
      </c>
      <c r="AJ67" s="460">
        <v>0</v>
      </c>
      <c r="AK67" s="460">
        <v>0.112174013824534</v>
      </c>
      <c r="AL67" s="460">
        <v>6.2455874390004697E-2</v>
      </c>
      <c r="AM67" s="460">
        <v>7.1079521405512103E-2</v>
      </c>
      <c r="AN67" s="460">
        <v>2.13613819709829E-2</v>
      </c>
      <c r="AO67" s="460">
        <v>0.230638548685415</v>
      </c>
      <c r="AP67" s="460">
        <v>3.4368297170028102E-2</v>
      </c>
      <c r="AQ67" s="460">
        <v>8.4086436604557196E-2</v>
      </c>
      <c r="AR67" s="460">
        <v>7.5462789589049797E-2</v>
      </c>
      <c r="AS67" s="460">
        <v>0.125180929023579</v>
      </c>
      <c r="AT67" s="460">
        <v>0</v>
      </c>
      <c r="AU67" s="460">
        <v>0</v>
      </c>
      <c r="AV67" s="460">
        <v>0</v>
      </c>
      <c r="AW67" s="460">
        <v>0</v>
      </c>
      <c r="AX67" s="460">
        <v>-8.4096237690853101E-2</v>
      </c>
      <c r="AY67" s="460">
        <v>0</v>
      </c>
    </row>
    <row r="68" spans="1:51" x14ac:dyDescent="0.2">
      <c r="A68" s="588" t="s">
        <v>418</v>
      </c>
      <c r="B68" s="588" t="s">
        <v>229</v>
      </c>
      <c r="C68" s="588" t="s">
        <v>25</v>
      </c>
      <c r="D68" s="588">
        <v>3176757.4555799998</v>
      </c>
      <c r="E68" s="588">
        <v>281.51023406000002</v>
      </c>
      <c r="F68" s="589">
        <v>1.0636561592623901</v>
      </c>
      <c r="G68" s="589">
        <v>1.9564416998290599</v>
      </c>
      <c r="H68" s="588">
        <v>-612.43461566543704</v>
      </c>
      <c r="I68" s="588">
        <v>1926358.3699251499</v>
      </c>
      <c r="J68" s="588">
        <v>1810496.67088368</v>
      </c>
      <c r="K68" s="588">
        <v>984310.411845005</v>
      </c>
      <c r="L68" s="460">
        <v>718001.59855373402</v>
      </c>
      <c r="M68" s="460">
        <v>287273.44199999998</v>
      </c>
      <c r="N68" s="460">
        <v>1005275.04055373</v>
      </c>
      <c r="O68" s="588">
        <v>43804.4012789935</v>
      </c>
      <c r="P68" s="588">
        <v>82853.782655222996</v>
      </c>
      <c r="Q68" s="588">
        <v>30502.9308225811</v>
      </c>
      <c r="R68" s="588">
        <v>549624.60828373604</v>
      </c>
      <c r="S68" s="592">
        <v>0</v>
      </c>
      <c r="T68" s="592">
        <v>0</v>
      </c>
      <c r="U68" s="592">
        <v>11215.875513200701</v>
      </c>
      <c r="V68" s="592">
        <v>0</v>
      </c>
      <c r="W68" s="592">
        <v>0</v>
      </c>
      <c r="X68" s="592">
        <v>0</v>
      </c>
      <c r="Y68" s="592">
        <v>0</v>
      </c>
      <c r="Z68" s="592">
        <v>0</v>
      </c>
      <c r="AA68" s="592">
        <v>287273.44199999998</v>
      </c>
      <c r="AB68" s="592">
        <v>0</v>
      </c>
      <c r="AC68" s="592">
        <v>1615830.649548</v>
      </c>
      <c r="AD68" s="592">
        <v>0</v>
      </c>
      <c r="AE68" s="592">
        <v>810434.58743157203</v>
      </c>
      <c r="AF68" s="592">
        <v>21906453.050768699</v>
      </c>
      <c r="AG68" s="592">
        <v>14721666.919954401</v>
      </c>
      <c r="AH68" s="592">
        <v>-12441.8655977445</v>
      </c>
      <c r="AI68" s="592">
        <v>-622.093279887226</v>
      </c>
      <c r="AJ68" s="460">
        <v>0.98447392933815303</v>
      </c>
      <c r="AK68" s="460">
        <v>0.12302088229840499</v>
      </c>
      <c r="AL68" s="460">
        <v>7.4233612171786201E-2</v>
      </c>
      <c r="AM68" s="460">
        <v>6.6882605899284006E-2</v>
      </c>
      <c r="AN68" s="460">
        <v>1.8095335772665599E-2</v>
      </c>
      <c r="AO68" s="460">
        <v>0.226190210165474</v>
      </c>
      <c r="AP68" s="460">
        <v>7.8310368761875804E-3</v>
      </c>
      <c r="AQ68" s="460">
        <v>5.6618307002806102E-2</v>
      </c>
      <c r="AR68" s="460">
        <v>6.3969313275308304E-2</v>
      </c>
      <c r="AS68" s="460">
        <v>0.112756583401927</v>
      </c>
      <c r="AT68" s="460">
        <v>5.8917375403822102E-2</v>
      </c>
      <c r="AU68" s="460">
        <v>0.425971949965607</v>
      </c>
      <c r="AV68" s="460">
        <v>0.481277780215005</v>
      </c>
      <c r="AW68" s="460">
        <v>0.84833235477679003</v>
      </c>
      <c r="AX68" s="460">
        <v>-9.5338290990881702E-2</v>
      </c>
      <c r="AY68" s="460">
        <v>-0.71728456518008199</v>
      </c>
    </row>
    <row r="69" spans="1:51" x14ac:dyDescent="0.2">
      <c r="A69" s="588" t="s">
        <v>419</v>
      </c>
      <c r="B69" s="588" t="s">
        <v>229</v>
      </c>
      <c r="C69" s="588" t="s">
        <v>26</v>
      </c>
      <c r="D69" s="588">
        <v>3221152.7</v>
      </c>
      <c r="E69" s="588">
        <v>245.61164696</v>
      </c>
      <c r="F69" s="589">
        <v>1.3184953529554799</v>
      </c>
      <c r="G69" s="589">
        <v>1.83567233222513</v>
      </c>
      <c r="H69" s="588">
        <v>57273.977946489897</v>
      </c>
      <c r="I69" s="588">
        <v>2095409.2429158699</v>
      </c>
      <c r="J69" s="588">
        <v>1632681.6898042101</v>
      </c>
      <c r="K69" s="588">
        <v>1172694.7032278699</v>
      </c>
      <c r="L69" s="460">
        <v>914104.07338127994</v>
      </c>
      <c r="M69" s="460">
        <v>278947.65999999997</v>
      </c>
      <c r="N69" s="460">
        <v>1193051.73338128</v>
      </c>
      <c r="O69" s="588">
        <v>54927.885263179902</v>
      </c>
      <c r="P69" s="588">
        <v>90231.153979221795</v>
      </c>
      <c r="Q69" s="588">
        <v>13420.804136340699</v>
      </c>
      <c r="R69" s="588">
        <v>701417.10402318602</v>
      </c>
      <c r="S69" s="592">
        <v>0</v>
      </c>
      <c r="T69" s="592">
        <v>0</v>
      </c>
      <c r="U69" s="592">
        <v>54107.125979351498</v>
      </c>
      <c r="V69" s="592">
        <v>0</v>
      </c>
      <c r="W69" s="592">
        <v>0</v>
      </c>
      <c r="X69" s="592">
        <v>0</v>
      </c>
      <c r="Y69" s="592">
        <v>0</v>
      </c>
      <c r="Z69" s="592">
        <v>0</v>
      </c>
      <c r="AA69" s="592">
        <v>278947.65999999997</v>
      </c>
      <c r="AB69" s="592">
        <v>0</v>
      </c>
      <c r="AC69" s="592">
        <v>973737.98340499995</v>
      </c>
      <c r="AD69" s="592">
        <v>0</v>
      </c>
      <c r="AE69" s="592">
        <v>447511.64295034198</v>
      </c>
      <c r="AF69" s="592">
        <v>23331846.229450699</v>
      </c>
      <c r="AG69" s="592">
        <v>16447772.885292901</v>
      </c>
      <c r="AH69" s="592">
        <v>105776.803482508</v>
      </c>
      <c r="AI69" s="592">
        <v>58177.241915379498</v>
      </c>
      <c r="AJ69" s="460">
        <v>0.98447392933815303</v>
      </c>
      <c r="AK69" s="460">
        <v>9.6623585962150205E-2</v>
      </c>
      <c r="AL69" s="460">
        <v>4.25260762857236E-2</v>
      </c>
      <c r="AM69" s="460">
        <v>6.9401138122816897E-2</v>
      </c>
      <c r="AN69" s="460">
        <v>1.5303628446390299E-2</v>
      </c>
      <c r="AO69" s="460">
        <v>0.22916335262471399</v>
      </c>
      <c r="AP69" s="460">
        <v>3.07741631148396E-2</v>
      </c>
      <c r="AQ69" s="460">
        <v>8.4871672791266201E-2</v>
      </c>
      <c r="AR69" s="460">
        <v>5.7996610954172897E-2</v>
      </c>
      <c r="AS69" s="460">
        <v>0.11209412063059999</v>
      </c>
      <c r="AT69" s="460">
        <v>0.237809235275032</v>
      </c>
      <c r="AU69" s="460">
        <v>0.65585106336396903</v>
      </c>
      <c r="AV69" s="460">
        <v>0.44817237265193799</v>
      </c>
      <c r="AW69" s="460">
        <v>0.86621420074087496</v>
      </c>
      <c r="AX69" s="460">
        <v>-0.101765603547724</v>
      </c>
      <c r="AY69" s="460">
        <v>-0.78639995072088797</v>
      </c>
    </row>
    <row r="70" spans="1:51" x14ac:dyDescent="0.2">
      <c r="A70" s="588" t="s">
        <v>427</v>
      </c>
      <c r="B70" s="588" t="s">
        <v>233</v>
      </c>
      <c r="C70" s="588" t="s">
        <v>27</v>
      </c>
      <c r="D70" s="588">
        <v>17360184.275458999</v>
      </c>
      <c r="E70" s="588">
        <v>1217.9269397230801</v>
      </c>
      <c r="F70" s="589">
        <v>0.78772806387927097</v>
      </c>
      <c r="G70" s="589">
        <v>2.1153233022186999</v>
      </c>
      <c r="H70" s="588">
        <v>0</v>
      </c>
      <c r="I70" s="588">
        <v>6985415.5165275997</v>
      </c>
      <c r="J70" s="588">
        <v>8867800.7510954998</v>
      </c>
      <c r="K70" s="588">
        <v>3302292.1409700401</v>
      </c>
      <c r="L70" s="460">
        <v>1657807.1499248999</v>
      </c>
      <c r="M70" s="460">
        <v>1773943.78299518</v>
      </c>
      <c r="N70" s="460">
        <v>3431750.9329200801</v>
      </c>
      <c r="O70" s="588">
        <v>163406.43248022001</v>
      </c>
      <c r="P70" s="588">
        <v>93103.648307858602</v>
      </c>
      <c r="Q70" s="588">
        <v>14933.418495780001</v>
      </c>
      <c r="R70" s="588">
        <v>1378135.41020173</v>
      </c>
      <c r="S70" s="592">
        <v>0</v>
      </c>
      <c r="T70" s="592">
        <v>0</v>
      </c>
      <c r="U70" s="592">
        <v>8228.2404393134893</v>
      </c>
      <c r="V70" s="592">
        <v>0</v>
      </c>
      <c r="W70" s="592">
        <v>0</v>
      </c>
      <c r="X70" s="592">
        <v>0</v>
      </c>
      <c r="Y70" s="592">
        <v>0</v>
      </c>
      <c r="Z70" s="592">
        <v>0</v>
      </c>
      <c r="AA70" s="592">
        <v>1773943.78299518</v>
      </c>
      <c r="AB70" s="592">
        <v>0</v>
      </c>
      <c r="AC70" s="592">
        <v>10731026.7903085</v>
      </c>
      <c r="AD70" s="592">
        <v>0</v>
      </c>
      <c r="AE70" s="592">
        <v>5439348.8743641702</v>
      </c>
      <c r="AF70" s="592">
        <v>118846902.539459</v>
      </c>
      <c r="AG70" s="592">
        <v>78042757.415956095</v>
      </c>
      <c r="AH70" s="592">
        <v>0</v>
      </c>
      <c r="AI70" s="592">
        <v>0</v>
      </c>
      <c r="AJ70" s="460">
        <v>0</v>
      </c>
      <c r="AK70" s="460">
        <v>0.113627465824041</v>
      </c>
      <c r="AL70" s="460">
        <v>9.2385172434930996E-2</v>
      </c>
      <c r="AM70" s="460">
        <v>4.2313883444293501E-2</v>
      </c>
      <c r="AN70" s="460">
        <v>2.1071590055183199E-2</v>
      </c>
      <c r="AO70" s="460">
        <v>0.20241692550353099</v>
      </c>
      <c r="AP70" s="460">
        <v>-2.41199221669612E-2</v>
      </c>
      <c r="AQ70" s="460">
        <v>-2.8776287778509301E-3</v>
      </c>
      <c r="AR70" s="460">
        <v>4.7193660212786599E-2</v>
      </c>
      <c r="AS70" s="460">
        <v>6.8435953601896901E-2</v>
      </c>
      <c r="AT70" s="460">
        <v>0</v>
      </c>
      <c r="AU70" s="460">
        <v>0</v>
      </c>
      <c r="AV70" s="460">
        <v>0</v>
      </c>
      <c r="AW70" s="460">
        <v>0</v>
      </c>
      <c r="AX70" s="460">
        <v>-0.112909381846451</v>
      </c>
      <c r="AY70" s="460">
        <v>0</v>
      </c>
    </row>
    <row r="71" spans="1:51" x14ac:dyDescent="0.2">
      <c r="A71" s="588" t="s">
        <v>428</v>
      </c>
      <c r="B71" s="588" t="s">
        <v>233</v>
      </c>
      <c r="C71" s="588" t="s">
        <v>28</v>
      </c>
      <c r="D71" s="588">
        <v>43098049.808899797</v>
      </c>
      <c r="E71" s="588">
        <v>2558.0521082966202</v>
      </c>
      <c r="F71" s="589">
        <v>1.4072548733971599</v>
      </c>
      <c r="G71" s="589">
        <v>3.10576067031867</v>
      </c>
      <c r="H71" s="588">
        <v>0</v>
      </c>
      <c r="I71" s="588">
        <v>21755454.619309399</v>
      </c>
      <c r="J71" s="588">
        <v>15459498.510593999</v>
      </c>
      <c r="K71" s="588">
        <v>7004871.56889561</v>
      </c>
      <c r="L71" s="460">
        <v>3321501.5777189801</v>
      </c>
      <c r="M71" s="460">
        <v>3973335.9269920299</v>
      </c>
      <c r="N71" s="460">
        <v>7294837.5047110096</v>
      </c>
      <c r="O71" s="588">
        <v>308641.22621296701</v>
      </c>
      <c r="P71" s="588">
        <v>129091.41466828399</v>
      </c>
      <c r="Q71" s="588">
        <v>85999.432150765206</v>
      </c>
      <c r="R71" s="588">
        <v>2789541.2642476498</v>
      </c>
      <c r="S71" s="592">
        <v>0</v>
      </c>
      <c r="T71" s="592">
        <v>0</v>
      </c>
      <c r="U71" s="592">
        <v>8228.2404393134893</v>
      </c>
      <c r="V71" s="592">
        <v>0</v>
      </c>
      <c r="W71" s="592">
        <v>0</v>
      </c>
      <c r="X71" s="592">
        <v>0</v>
      </c>
      <c r="Y71" s="592">
        <v>0</v>
      </c>
      <c r="Z71" s="592">
        <v>0</v>
      </c>
      <c r="AA71" s="592">
        <v>3973335.9269920299</v>
      </c>
      <c r="AB71" s="592">
        <v>0</v>
      </c>
      <c r="AC71" s="592">
        <v>14925779.2043323</v>
      </c>
      <c r="AD71" s="592">
        <v>0</v>
      </c>
      <c r="AE71" s="592">
        <v>8331732.3877439899</v>
      </c>
      <c r="AF71" s="592">
        <v>253213719.66106001</v>
      </c>
      <c r="AG71" s="592">
        <v>200677207.996557</v>
      </c>
      <c r="AH71" s="592">
        <v>0</v>
      </c>
      <c r="AI71" s="592">
        <v>0</v>
      </c>
      <c r="AJ71" s="460">
        <v>0</v>
      </c>
      <c r="AK71" s="460">
        <v>7.7036643398283797E-2</v>
      </c>
      <c r="AL71" s="460">
        <v>6.0485179428464299E-2</v>
      </c>
      <c r="AM71" s="460">
        <v>3.4906164176929301E-2</v>
      </c>
      <c r="AN71" s="460">
        <v>1.83547002071099E-2</v>
      </c>
      <c r="AO71" s="460">
        <v>0.19254523888844799</v>
      </c>
      <c r="AP71" s="460">
        <v>3.1373548454109897E-2</v>
      </c>
      <c r="AQ71" s="460">
        <v>4.7925012423929297E-2</v>
      </c>
      <c r="AR71" s="460">
        <v>7.3504027675464295E-2</v>
      </c>
      <c r="AS71" s="460">
        <v>9.00554916452838E-2</v>
      </c>
      <c r="AT71" s="460">
        <v>0</v>
      </c>
      <c r="AU71" s="460">
        <v>0</v>
      </c>
      <c r="AV71" s="460">
        <v>0</v>
      </c>
      <c r="AW71" s="460">
        <v>0</v>
      </c>
      <c r="AX71" s="460">
        <v>-8.4135047036054594E-2</v>
      </c>
      <c r="AY71" s="460">
        <v>0</v>
      </c>
    </row>
    <row r="72" spans="1:51" x14ac:dyDescent="0.2">
      <c r="A72" s="588" t="s">
        <v>429</v>
      </c>
      <c r="B72" s="588" t="s">
        <v>233</v>
      </c>
      <c r="C72" s="588" t="s">
        <v>29</v>
      </c>
      <c r="D72" s="588">
        <v>20316314.9956153</v>
      </c>
      <c r="E72" s="588">
        <v>554.68890202976797</v>
      </c>
      <c r="F72" s="589">
        <v>0.885234741834525</v>
      </c>
      <c r="G72" s="589">
        <v>1.17377132487261</v>
      </c>
      <c r="H72" s="588">
        <v>0</v>
      </c>
      <c r="I72" s="588">
        <v>3426265.8509050398</v>
      </c>
      <c r="J72" s="588">
        <v>3870460.2169189402</v>
      </c>
      <c r="K72" s="588">
        <v>2919023.3040297702</v>
      </c>
      <c r="L72" s="460">
        <v>1307747.9290402001</v>
      </c>
      <c r="M72" s="460">
        <v>1738119.8063348699</v>
      </c>
      <c r="N72" s="460">
        <v>3045867.73537507</v>
      </c>
      <c r="O72" s="588">
        <v>136810.347848668</v>
      </c>
      <c r="P72" s="588">
        <v>125567.080400172</v>
      </c>
      <c r="Q72" s="588">
        <v>81903.464652372699</v>
      </c>
      <c r="R72" s="588">
        <v>955238.79569966998</v>
      </c>
      <c r="S72" s="592">
        <v>0</v>
      </c>
      <c r="T72" s="592">
        <v>0</v>
      </c>
      <c r="U72" s="592">
        <v>8228.2404393134893</v>
      </c>
      <c r="V72" s="592">
        <v>0</v>
      </c>
      <c r="W72" s="592">
        <v>0</v>
      </c>
      <c r="X72" s="592">
        <v>0</v>
      </c>
      <c r="Y72" s="592">
        <v>0</v>
      </c>
      <c r="Z72" s="592">
        <v>0</v>
      </c>
      <c r="AA72" s="592">
        <v>1738119.8063348699</v>
      </c>
      <c r="AB72" s="592">
        <v>0</v>
      </c>
      <c r="AC72" s="592">
        <v>3098579.1634830502</v>
      </c>
      <c r="AD72" s="592">
        <v>0</v>
      </c>
      <c r="AE72" s="592">
        <v>829155.17257570499</v>
      </c>
      <c r="AF72" s="592">
        <v>73448217.508746505</v>
      </c>
      <c r="AG72" s="592">
        <v>47361139.5912228</v>
      </c>
      <c r="AH72" s="592">
        <v>0</v>
      </c>
      <c r="AI72" s="592">
        <v>0</v>
      </c>
      <c r="AJ72" s="460">
        <v>0</v>
      </c>
      <c r="AK72" s="460">
        <v>8.1722278017909697E-2</v>
      </c>
      <c r="AL72" s="460">
        <v>5.4110021633721E-2</v>
      </c>
      <c r="AM72" s="460">
        <v>6.1633299562131698E-2</v>
      </c>
      <c r="AN72" s="460">
        <v>3.4021043177942897E-2</v>
      </c>
      <c r="AO72" s="460">
        <v>0.21234044042115199</v>
      </c>
      <c r="AP72" s="460">
        <v>-9.3788783345961305E-3</v>
      </c>
      <c r="AQ72" s="460">
        <v>1.8233378049592599E-2</v>
      </c>
      <c r="AR72" s="460">
        <v>1.07101001211819E-2</v>
      </c>
      <c r="AS72" s="460">
        <v>3.8322356505370699E-2</v>
      </c>
      <c r="AT72" s="460">
        <v>0</v>
      </c>
      <c r="AU72" s="460">
        <v>0</v>
      </c>
      <c r="AV72" s="460">
        <v>0</v>
      </c>
      <c r="AW72" s="460">
        <v>0</v>
      </c>
      <c r="AX72" s="460">
        <v>-0.139997040737839</v>
      </c>
      <c r="AY72" s="460">
        <v>0</v>
      </c>
    </row>
    <row r="73" spans="1:51" x14ac:dyDescent="0.2">
      <c r="A73" s="588" t="s">
        <v>430</v>
      </c>
      <c r="B73" s="588" t="s">
        <v>233</v>
      </c>
      <c r="C73" s="588" t="s">
        <v>30</v>
      </c>
      <c r="D73" s="588">
        <v>13605866.390745001</v>
      </c>
      <c r="E73" s="588">
        <v>355.78112514396298</v>
      </c>
      <c r="F73" s="589">
        <v>1.3627851105078299</v>
      </c>
      <c r="G73" s="589">
        <v>1.89917599379182</v>
      </c>
      <c r="H73" s="588">
        <v>0</v>
      </c>
      <c r="I73" s="588">
        <v>5390076.3479894605</v>
      </c>
      <c r="J73" s="588">
        <v>3955191.6926806602</v>
      </c>
      <c r="K73" s="588">
        <v>2838113.1425465401</v>
      </c>
      <c r="L73" s="460">
        <v>1172274.3407243199</v>
      </c>
      <c r="M73" s="460">
        <v>1796978.62981807</v>
      </c>
      <c r="N73" s="460">
        <v>2969252.9705424001</v>
      </c>
      <c r="O73" s="588">
        <v>106302.820660606</v>
      </c>
      <c r="P73" s="588">
        <v>68635.177447767899</v>
      </c>
      <c r="Q73" s="588">
        <v>34857.624310775303</v>
      </c>
      <c r="R73" s="588">
        <v>941333.47799187398</v>
      </c>
      <c r="S73" s="592">
        <v>0</v>
      </c>
      <c r="T73" s="592">
        <v>0</v>
      </c>
      <c r="U73" s="592">
        <v>21145.240313301201</v>
      </c>
      <c r="V73" s="592">
        <v>0</v>
      </c>
      <c r="W73" s="592">
        <v>0</v>
      </c>
      <c r="X73" s="592">
        <v>0</v>
      </c>
      <c r="Y73" s="592">
        <v>0</v>
      </c>
      <c r="Z73" s="592">
        <v>0</v>
      </c>
      <c r="AA73" s="592">
        <v>1796978.62981807</v>
      </c>
      <c r="AB73" s="592">
        <v>0</v>
      </c>
      <c r="AC73" s="592">
        <v>3514492.65340719</v>
      </c>
      <c r="AD73" s="592">
        <v>0</v>
      </c>
      <c r="AE73" s="592">
        <v>1029293.69216597</v>
      </c>
      <c r="AF73" s="592">
        <v>90697750.603811294</v>
      </c>
      <c r="AG73" s="592">
        <v>59908337.428104803</v>
      </c>
      <c r="AH73" s="592">
        <v>0</v>
      </c>
      <c r="AI73" s="592">
        <v>0</v>
      </c>
      <c r="AJ73" s="460">
        <v>0</v>
      </c>
      <c r="AK73" s="460">
        <v>6.6020722031006798E-2</v>
      </c>
      <c r="AL73" s="460">
        <v>4.6452922438318098E-2</v>
      </c>
      <c r="AM73" s="460">
        <v>4.7374259817384003E-2</v>
      </c>
      <c r="AN73" s="460">
        <v>2.7806460224695299E-2</v>
      </c>
      <c r="AO73" s="460">
        <v>0.20752572143870501</v>
      </c>
      <c r="AP73" s="460">
        <v>2.3951334937825398E-2</v>
      </c>
      <c r="AQ73" s="460">
        <v>4.3519134530514002E-2</v>
      </c>
      <c r="AR73" s="460">
        <v>4.2597797151448201E-2</v>
      </c>
      <c r="AS73" s="460">
        <v>6.2165596744136797E-2</v>
      </c>
      <c r="AT73" s="460">
        <v>0</v>
      </c>
      <c r="AU73" s="460">
        <v>0</v>
      </c>
      <c r="AV73" s="460">
        <v>0</v>
      </c>
      <c r="AW73" s="460">
        <v>0</v>
      </c>
      <c r="AX73" s="460">
        <v>-0.117553664469873</v>
      </c>
      <c r="AY73" s="460">
        <v>0</v>
      </c>
    </row>
    <row r="74" spans="1:51" x14ac:dyDescent="0.2">
      <c r="A74" s="588" t="s">
        <v>431</v>
      </c>
      <c r="B74" s="588" t="s">
        <v>233</v>
      </c>
      <c r="C74" s="588" t="s">
        <v>31</v>
      </c>
      <c r="D74" s="588">
        <v>10596721.3114754</v>
      </c>
      <c r="E74" s="588">
        <v>323.33475267901503</v>
      </c>
      <c r="F74" s="589">
        <v>0.90896825690321603</v>
      </c>
      <c r="G74" s="589">
        <v>1.24025409568903</v>
      </c>
      <c r="H74" s="588">
        <v>0</v>
      </c>
      <c r="I74" s="588">
        <v>2400821.3145947498</v>
      </c>
      <c r="J74" s="588">
        <v>2641259.7979759602</v>
      </c>
      <c r="K74" s="588">
        <v>1935749.5556271099</v>
      </c>
      <c r="L74" s="460">
        <v>1104917.2494466701</v>
      </c>
      <c r="M74" s="460">
        <v>896237.91781988495</v>
      </c>
      <c r="N74" s="460">
        <v>2001155.16726656</v>
      </c>
      <c r="O74" s="588">
        <v>92752.823726571805</v>
      </c>
      <c r="P74" s="588">
        <v>62866.390878199498</v>
      </c>
      <c r="Q74" s="588">
        <v>24026.842091019698</v>
      </c>
      <c r="R74" s="588">
        <v>914671.45353283104</v>
      </c>
      <c r="S74" s="592">
        <v>0</v>
      </c>
      <c r="T74" s="592">
        <v>0</v>
      </c>
      <c r="U74" s="592">
        <v>10599.739218049601</v>
      </c>
      <c r="V74" s="592">
        <v>0</v>
      </c>
      <c r="W74" s="592">
        <v>0</v>
      </c>
      <c r="X74" s="592">
        <v>0</v>
      </c>
      <c r="Y74" s="592">
        <v>0</v>
      </c>
      <c r="Z74" s="592">
        <v>0</v>
      </c>
      <c r="AA74" s="592">
        <v>896237.91781988495</v>
      </c>
      <c r="AB74" s="592">
        <v>0</v>
      </c>
      <c r="AC74" s="592">
        <v>1998142.8455042201</v>
      </c>
      <c r="AD74" s="592">
        <v>0</v>
      </c>
      <c r="AE74" s="592">
        <v>661142.98288206302</v>
      </c>
      <c r="AF74" s="592">
        <v>42824787.413524002</v>
      </c>
      <c r="AG74" s="592">
        <v>27836112.839813098</v>
      </c>
      <c r="AH74" s="592">
        <v>0</v>
      </c>
      <c r="AI74" s="592">
        <v>0</v>
      </c>
      <c r="AJ74" s="460">
        <v>0</v>
      </c>
      <c r="AK74" s="460">
        <v>9.4886086041376203E-2</v>
      </c>
      <c r="AL74" s="460">
        <v>5.5192424221384401E-2</v>
      </c>
      <c r="AM74" s="460">
        <v>6.9540943693060298E-2</v>
      </c>
      <c r="AN74" s="460">
        <v>2.9847281873068499E-2</v>
      </c>
      <c r="AO74" s="460">
        <v>0.22230241820261101</v>
      </c>
      <c r="AP74" s="460">
        <v>-8.6376458079778506E-3</v>
      </c>
      <c r="AQ74" s="460">
        <v>3.1056016012013899E-2</v>
      </c>
      <c r="AR74" s="460">
        <v>1.6707496540337999E-2</v>
      </c>
      <c r="AS74" s="460">
        <v>5.6401158360329801E-2</v>
      </c>
      <c r="AT74" s="460">
        <v>0</v>
      </c>
      <c r="AU74" s="460">
        <v>0</v>
      </c>
      <c r="AV74" s="460">
        <v>0</v>
      </c>
      <c r="AW74" s="460">
        <v>0</v>
      </c>
      <c r="AX74" s="460">
        <v>-0.13605397796921301</v>
      </c>
      <c r="AY74" s="460">
        <v>0</v>
      </c>
    </row>
    <row r="75" spans="1:51" x14ac:dyDescent="0.2">
      <c r="A75" s="588" t="s">
        <v>432</v>
      </c>
      <c r="B75" s="588" t="s">
        <v>233</v>
      </c>
      <c r="C75" s="588" t="s">
        <v>32</v>
      </c>
      <c r="D75" s="588">
        <v>11885250</v>
      </c>
      <c r="E75" s="588">
        <v>376.96875</v>
      </c>
      <c r="F75" s="589">
        <v>1.6784369292510299</v>
      </c>
      <c r="G75" s="589">
        <v>1.94627834722028</v>
      </c>
      <c r="H75" s="588">
        <v>0</v>
      </c>
      <c r="I75" s="588">
        <v>2768379.2010284802</v>
      </c>
      <c r="J75" s="588">
        <v>1649379.3438302199</v>
      </c>
      <c r="K75" s="588">
        <v>1422396.34170639</v>
      </c>
      <c r="L75" s="460">
        <v>492718.09019974503</v>
      </c>
      <c r="M75" s="460">
        <v>1002865.3125</v>
      </c>
      <c r="N75" s="460">
        <v>1495583.4026997399</v>
      </c>
      <c r="O75" s="588">
        <v>53106.208398696399</v>
      </c>
      <c r="P75" s="588">
        <v>78260.730916510001</v>
      </c>
      <c r="Q75" s="588">
        <v>11711.143348625799</v>
      </c>
      <c r="R75" s="588">
        <v>339040.268317863</v>
      </c>
      <c r="S75" s="592">
        <v>0</v>
      </c>
      <c r="T75" s="592">
        <v>0</v>
      </c>
      <c r="U75" s="592">
        <v>10599.739218049601</v>
      </c>
      <c r="V75" s="592">
        <v>0</v>
      </c>
      <c r="W75" s="592">
        <v>0</v>
      </c>
      <c r="X75" s="592">
        <v>0</v>
      </c>
      <c r="Y75" s="592">
        <v>0</v>
      </c>
      <c r="Z75" s="592">
        <v>0</v>
      </c>
      <c r="AA75" s="592">
        <v>1002865.3125</v>
      </c>
      <c r="AB75" s="592">
        <v>0</v>
      </c>
      <c r="AC75" s="592">
        <v>1272249.0053999999</v>
      </c>
      <c r="AD75" s="592">
        <v>0</v>
      </c>
      <c r="AE75" s="592">
        <v>120467.41211610301</v>
      </c>
      <c r="AF75" s="592">
        <v>50479291.713739403</v>
      </c>
      <c r="AG75" s="592">
        <v>34611716.383749001</v>
      </c>
      <c r="AH75" s="592">
        <v>0</v>
      </c>
      <c r="AI75" s="592">
        <v>0</v>
      </c>
      <c r="AJ75" s="460">
        <v>0</v>
      </c>
      <c r="AK75" s="460">
        <v>4.76537865254393E-2</v>
      </c>
      <c r="AL75" s="460">
        <v>3.3418199802814699E-2</v>
      </c>
      <c r="AM75" s="460">
        <v>4.1095804840647503E-2</v>
      </c>
      <c r="AN75" s="460">
        <v>2.6860218118022899E-2</v>
      </c>
      <c r="AO75" s="460">
        <v>0.195127010668282</v>
      </c>
      <c r="AP75" s="460">
        <v>3.2330088597503297E-2</v>
      </c>
      <c r="AQ75" s="460">
        <v>4.6565675320127897E-2</v>
      </c>
      <c r="AR75" s="460">
        <v>3.8888070282295101E-2</v>
      </c>
      <c r="AS75" s="460">
        <v>5.3123657004919701E-2</v>
      </c>
      <c r="AT75" s="460">
        <v>0</v>
      </c>
      <c r="AU75" s="460">
        <v>0</v>
      </c>
      <c r="AV75" s="460">
        <v>0</v>
      </c>
      <c r="AW75" s="460">
        <v>0</v>
      </c>
      <c r="AX75" s="460">
        <v>-0.115143135545339</v>
      </c>
      <c r="AY75" s="460">
        <v>0</v>
      </c>
    </row>
    <row r="76" spans="1:51" x14ac:dyDescent="0.2">
      <c r="A76" s="588" t="s">
        <v>424</v>
      </c>
      <c r="B76" s="588" t="s">
        <v>231</v>
      </c>
      <c r="C76" s="588" t="s">
        <v>35</v>
      </c>
      <c r="D76" s="588">
        <v>342558.01013549999</v>
      </c>
      <c r="E76" s="588">
        <v>61.830872280000001</v>
      </c>
      <c r="F76" s="589">
        <v>0.14191999628236601</v>
      </c>
      <c r="G76" s="589">
        <v>0.151713228230137</v>
      </c>
      <c r="H76" s="588">
        <v>575.97202817393702</v>
      </c>
      <c r="I76" s="588">
        <v>139049.22430373001</v>
      </c>
      <c r="J76" s="588">
        <v>983830.32687023701</v>
      </c>
      <c r="K76" s="588">
        <v>920323.15151914605</v>
      </c>
      <c r="L76" s="460">
        <v>596505.33691193105</v>
      </c>
      <c r="M76" s="460">
        <v>349309.72442653897</v>
      </c>
      <c r="N76" s="460">
        <v>945815.06133846997</v>
      </c>
      <c r="O76" s="588">
        <v>96658.270855480005</v>
      </c>
      <c r="P76" s="588">
        <v>48764.879444427803</v>
      </c>
      <c r="Q76" s="588">
        <v>0</v>
      </c>
      <c r="R76" s="588">
        <v>444062.25631820498</v>
      </c>
      <c r="S76" s="592">
        <v>0</v>
      </c>
      <c r="T76" s="592">
        <v>0</v>
      </c>
      <c r="U76" s="592">
        <v>7019.9302938184101</v>
      </c>
      <c r="V76" s="592">
        <v>0</v>
      </c>
      <c r="W76" s="592">
        <v>0</v>
      </c>
      <c r="X76" s="592">
        <v>0</v>
      </c>
      <c r="Y76" s="592">
        <v>108043.66442653901</v>
      </c>
      <c r="Z76" s="592">
        <v>241266.06</v>
      </c>
      <c r="AA76" s="592">
        <v>0</v>
      </c>
      <c r="AB76" s="592">
        <v>0</v>
      </c>
      <c r="AC76" s="592">
        <v>419765.66</v>
      </c>
      <c r="AD76" s="592">
        <v>8068.93</v>
      </c>
      <c r="AE76" s="592">
        <v>47114.921216255498</v>
      </c>
      <c r="AF76" s="592">
        <v>2205601.8087364398</v>
      </c>
      <c r="AG76" s="592">
        <v>1432785.0250770601</v>
      </c>
      <c r="AH76" s="592">
        <v>-6.6702707677521303E-2</v>
      </c>
      <c r="AI76" s="592">
        <v>34.233914346411801</v>
      </c>
      <c r="AJ76" s="460">
        <v>16.8246032967687</v>
      </c>
      <c r="AK76" s="460">
        <v>0.68382338043331703</v>
      </c>
      <c r="AL76" s="460">
        <v>0.26921500255249198</v>
      </c>
      <c r="AM76" s="460">
        <v>0.639681936381163</v>
      </c>
      <c r="AN76" s="460">
        <v>0.225073558500338</v>
      </c>
      <c r="AO76" s="460">
        <v>0.79595415106505796</v>
      </c>
      <c r="AP76" s="460">
        <v>-0.58677516882442504</v>
      </c>
      <c r="AQ76" s="460">
        <v>-0.17216679094359999</v>
      </c>
      <c r="AR76" s="460">
        <v>-0.54263372477227201</v>
      </c>
      <c r="AS76" s="460">
        <v>-0.12802534689144601</v>
      </c>
      <c r="AT76" s="460">
        <v>-101.72531029887</v>
      </c>
      <c r="AU76" s="460">
        <v>-29.847412028334201</v>
      </c>
      <c r="AV76" s="460">
        <v>-94.0728015837485</v>
      </c>
      <c r="AW76" s="460">
        <v>-22.1949033132131</v>
      </c>
      <c r="AX76" s="460">
        <v>-0.69890593945616597</v>
      </c>
      <c r="AY76" s="460">
        <v>-121.164676588717</v>
      </c>
    </row>
    <row r="77" spans="1:51" x14ac:dyDescent="0.2">
      <c r="A77" s="588" t="s">
        <v>439</v>
      </c>
      <c r="B77" s="588" t="s">
        <v>229</v>
      </c>
      <c r="C77" s="588" t="s">
        <v>218</v>
      </c>
      <c r="D77" s="588">
        <v>4545940.2633297704</v>
      </c>
      <c r="E77" s="588">
        <v>1291.9913024710399</v>
      </c>
      <c r="F77" s="589">
        <v>0.57507748897579702</v>
      </c>
      <c r="G77" s="589">
        <v>0.93574249139884003</v>
      </c>
      <c r="H77" s="588">
        <v>0</v>
      </c>
      <c r="I77" s="588">
        <v>2018414.6390559101</v>
      </c>
      <c r="J77" s="588">
        <v>3509813.3342876402</v>
      </c>
      <c r="K77" s="588">
        <v>2157019.3270144099</v>
      </c>
      <c r="L77" s="460">
        <v>1754525.77499589</v>
      </c>
      <c r="M77" s="460">
        <v>434179.051914068</v>
      </c>
      <c r="N77" s="460">
        <v>2188704.8269099598</v>
      </c>
      <c r="O77" s="588">
        <v>89788.334162646497</v>
      </c>
      <c r="P77" s="588">
        <v>36049.820109056003</v>
      </c>
      <c r="Q77" s="588">
        <v>25993.327045508799</v>
      </c>
      <c r="R77" s="588">
        <v>1602694.29367868</v>
      </c>
      <c r="S77" s="592">
        <v>0</v>
      </c>
      <c r="T77" s="592">
        <v>0</v>
      </c>
      <c r="U77" s="592">
        <v>0</v>
      </c>
      <c r="V77" s="592">
        <v>0</v>
      </c>
      <c r="W77" s="592">
        <v>0</v>
      </c>
      <c r="X77" s="592">
        <v>0</v>
      </c>
      <c r="Y77" s="592">
        <v>0</v>
      </c>
      <c r="Z77" s="592">
        <v>0</v>
      </c>
      <c r="AA77" s="592">
        <v>434179.051914068</v>
      </c>
      <c r="AB77" s="592">
        <v>0</v>
      </c>
      <c r="AC77" s="592">
        <v>2136292.9430792299</v>
      </c>
      <c r="AD77" s="592">
        <v>0</v>
      </c>
      <c r="AE77" s="592">
        <v>1352475.3627538499</v>
      </c>
      <c r="AF77" s="592">
        <v>27590563.3334518</v>
      </c>
      <c r="AG77" s="592">
        <v>22949966.607070301</v>
      </c>
      <c r="AH77" s="592">
        <v>0</v>
      </c>
      <c r="AI77" s="592">
        <v>0</v>
      </c>
      <c r="AJ77" s="460">
        <v>0</v>
      </c>
      <c r="AK77" s="460">
        <v>0.15293326541078101</v>
      </c>
      <c r="AL77" s="460">
        <v>7.6483229337292E-2</v>
      </c>
      <c r="AM77" s="460">
        <v>9.3987906995467399E-2</v>
      </c>
      <c r="AN77" s="460">
        <v>1.7537870921978501E-2</v>
      </c>
      <c r="AO77" s="460">
        <v>0.251767121678173</v>
      </c>
      <c r="AP77" s="460">
        <v>-6.4984787157479906E-2</v>
      </c>
      <c r="AQ77" s="460">
        <v>1.1465248916009E-2</v>
      </c>
      <c r="AR77" s="460">
        <v>-6.0394287421663096E-3</v>
      </c>
      <c r="AS77" s="460">
        <v>7.0410607331322594E-2</v>
      </c>
      <c r="AT77" s="460">
        <v>0</v>
      </c>
      <c r="AU77" s="460">
        <v>0</v>
      </c>
      <c r="AV77" s="460">
        <v>0</v>
      </c>
      <c r="AW77" s="460">
        <v>0</v>
      </c>
      <c r="AX77" s="460">
        <v>-0.16381864342487101</v>
      </c>
      <c r="AY77" s="460">
        <v>0</v>
      </c>
    </row>
    <row r="78" spans="1:51" x14ac:dyDescent="0.2">
      <c r="A78" s="588" t="s">
        <v>425</v>
      </c>
      <c r="B78" s="588" t="s">
        <v>229</v>
      </c>
      <c r="C78" s="588" t="s">
        <v>36</v>
      </c>
      <c r="D78" s="588">
        <v>10413372.939999999</v>
      </c>
      <c r="E78" s="588">
        <v>386.25</v>
      </c>
      <c r="F78" s="589">
        <v>1.2589845488462901</v>
      </c>
      <c r="G78" s="589">
        <v>3.8969291594184901</v>
      </c>
      <c r="H78" s="588">
        <v>0</v>
      </c>
      <c r="I78" s="588">
        <v>6446918.4239310203</v>
      </c>
      <c r="J78" s="588">
        <v>5120728.7887995401</v>
      </c>
      <c r="K78" s="588">
        <v>1654358.63989199</v>
      </c>
      <c r="L78" s="460">
        <v>828375.19910135202</v>
      </c>
      <c r="M78" s="460">
        <v>891007.33519999997</v>
      </c>
      <c r="N78" s="460">
        <v>1719382.5343013499</v>
      </c>
      <c r="O78" s="588">
        <v>61654.468073129901</v>
      </c>
      <c r="P78" s="588">
        <v>98707.135723826796</v>
      </c>
      <c r="Q78" s="588">
        <v>12709.6556397411</v>
      </c>
      <c r="R78" s="588">
        <v>549596.80394065497</v>
      </c>
      <c r="S78" s="592">
        <v>0</v>
      </c>
      <c r="T78" s="592">
        <v>0</v>
      </c>
      <c r="U78" s="592">
        <v>105707.13572400001</v>
      </c>
      <c r="V78" s="592">
        <v>0</v>
      </c>
      <c r="W78" s="592">
        <v>0</v>
      </c>
      <c r="X78" s="592">
        <v>0</v>
      </c>
      <c r="Y78" s="592">
        <v>0</v>
      </c>
      <c r="Z78" s="592">
        <v>0</v>
      </c>
      <c r="AA78" s="592">
        <v>891007.33519999997</v>
      </c>
      <c r="AB78" s="592">
        <v>0</v>
      </c>
      <c r="AC78" s="592">
        <v>5237716.5580000002</v>
      </c>
      <c r="AD78" s="592">
        <v>0</v>
      </c>
      <c r="AE78" s="592">
        <v>3477367.37824</v>
      </c>
      <c r="AF78" s="592">
        <v>54468017.859342404</v>
      </c>
      <c r="AG78" s="592">
        <v>46297815.180441</v>
      </c>
      <c r="AH78" s="592">
        <v>0</v>
      </c>
      <c r="AI78" s="592">
        <v>0</v>
      </c>
      <c r="AJ78" s="460">
        <v>0</v>
      </c>
      <c r="AK78" s="460">
        <v>0.11060411314966</v>
      </c>
      <c r="AL78" s="460">
        <v>9.2711795858382906E-2</v>
      </c>
      <c r="AM78" s="460">
        <v>3.57329742979079E-2</v>
      </c>
      <c r="AN78" s="460">
        <v>1.78406570066309E-2</v>
      </c>
      <c r="AO78" s="460">
        <v>0.18975156249073299</v>
      </c>
      <c r="AP78" s="460">
        <v>2.8644756344609099E-2</v>
      </c>
      <c r="AQ78" s="460">
        <v>4.6537073635886099E-2</v>
      </c>
      <c r="AR78" s="460">
        <v>0.10351589519636099</v>
      </c>
      <c r="AS78" s="460">
        <v>0.121408212487638</v>
      </c>
      <c r="AT78" s="460">
        <v>0</v>
      </c>
      <c r="AU78" s="460">
        <v>0</v>
      </c>
      <c r="AV78" s="460">
        <v>0</v>
      </c>
      <c r="AW78" s="460">
        <v>0</v>
      </c>
      <c r="AX78" s="460">
        <v>-5.0502692996464198E-2</v>
      </c>
      <c r="AY78" s="460">
        <v>0</v>
      </c>
    </row>
    <row r="79" spans="1:51" x14ac:dyDescent="0.2">
      <c r="A79" s="588" t="s">
        <v>441</v>
      </c>
      <c r="B79" s="588" t="s">
        <v>231</v>
      </c>
      <c r="C79" s="588" t="s">
        <v>216</v>
      </c>
      <c r="D79" s="588">
        <v>5857980.7000000002</v>
      </c>
      <c r="E79" s="588">
        <v>348.98550499999999</v>
      </c>
      <c r="F79" s="589">
        <v>1.4145948667442001</v>
      </c>
      <c r="G79" s="589">
        <v>1.95887065984818</v>
      </c>
      <c r="H79" s="588">
        <v>0</v>
      </c>
      <c r="I79" s="588">
        <v>2043290.25201738</v>
      </c>
      <c r="J79" s="588">
        <v>1444434.9403869801</v>
      </c>
      <c r="K79" s="588">
        <v>1043096.05217924</v>
      </c>
      <c r="L79" s="460">
        <v>548753.20420065999</v>
      </c>
      <c r="M79" s="460">
        <v>533259</v>
      </c>
      <c r="N79" s="460">
        <v>1082012.2042006601</v>
      </c>
      <c r="O79" s="588">
        <v>45905.801780300302</v>
      </c>
      <c r="P79" s="588">
        <v>37132.638407925901</v>
      </c>
      <c r="Q79" s="588">
        <v>43479.109423761198</v>
      </c>
      <c r="R79" s="588">
        <v>422235.65458867297</v>
      </c>
      <c r="S79" s="592">
        <v>0</v>
      </c>
      <c r="T79" s="592">
        <v>0</v>
      </c>
      <c r="U79" s="592">
        <v>0</v>
      </c>
      <c r="V79" s="592">
        <v>0</v>
      </c>
      <c r="W79" s="592">
        <v>0</v>
      </c>
      <c r="X79" s="592">
        <v>0</v>
      </c>
      <c r="Y79" s="592">
        <v>0</v>
      </c>
      <c r="Z79" s="592">
        <v>0</v>
      </c>
      <c r="AA79" s="592">
        <v>533259</v>
      </c>
      <c r="AB79" s="592">
        <v>0</v>
      </c>
      <c r="AC79" s="592">
        <v>674543.15920051897</v>
      </c>
      <c r="AD79" s="592">
        <v>0</v>
      </c>
      <c r="AE79" s="592">
        <v>84672.608696748503</v>
      </c>
      <c r="AF79" s="592">
        <v>31505520.745229799</v>
      </c>
      <c r="AG79" s="592">
        <v>24217227.448224999</v>
      </c>
      <c r="AH79" s="592">
        <v>0</v>
      </c>
      <c r="AI79" s="592">
        <v>0</v>
      </c>
      <c r="AJ79" s="460">
        <v>0</v>
      </c>
      <c r="AK79" s="460">
        <v>5.96449343127778E-2</v>
      </c>
      <c r="AL79" s="460">
        <v>3.6985312959595902E-2</v>
      </c>
      <c r="AM79" s="460">
        <v>4.3072480299791598E-2</v>
      </c>
      <c r="AN79" s="460">
        <v>2.04128589466098E-2</v>
      </c>
      <c r="AO79" s="460">
        <v>0.20017641220250601</v>
      </c>
      <c r="AP79" s="460">
        <v>2.4728483593372701E-2</v>
      </c>
      <c r="AQ79" s="460">
        <v>4.7388104946554599E-2</v>
      </c>
      <c r="AR79" s="460">
        <v>4.1300937606358799E-2</v>
      </c>
      <c r="AS79" s="460">
        <v>6.3960558959540698E-2</v>
      </c>
      <c r="AT79" s="460">
        <v>0</v>
      </c>
      <c r="AU79" s="460">
        <v>0</v>
      </c>
      <c r="AV79" s="460">
        <v>0</v>
      </c>
      <c r="AW79" s="460">
        <v>0</v>
      </c>
      <c r="AX79" s="460">
        <v>-0.115802994296356</v>
      </c>
      <c r="AY79" s="460">
        <v>0</v>
      </c>
    </row>
    <row r="80" spans="1:51" x14ac:dyDescent="0.2">
      <c r="A80" s="588" t="s">
        <v>435</v>
      </c>
      <c r="B80" s="588" t="s">
        <v>233</v>
      </c>
      <c r="C80" s="588" t="s">
        <v>217</v>
      </c>
      <c r="D80" s="588">
        <v>8861981.57533806</v>
      </c>
      <c r="E80" s="588">
        <v>1348.45005247104</v>
      </c>
      <c r="F80" s="589">
        <v>1.0976206920917699</v>
      </c>
      <c r="G80" s="589">
        <v>2.3980880693164002</v>
      </c>
      <c r="H80" s="588">
        <v>0</v>
      </c>
      <c r="I80" s="588">
        <v>3900207.53820753</v>
      </c>
      <c r="J80" s="588">
        <v>3553329.0929262601</v>
      </c>
      <c r="K80" s="588">
        <v>1626382.1116958901</v>
      </c>
      <c r="L80" s="460">
        <v>904064.72078577499</v>
      </c>
      <c r="M80" s="460">
        <v>779180.38287473202</v>
      </c>
      <c r="N80" s="460">
        <v>1683245.1036605099</v>
      </c>
      <c r="O80" s="588">
        <v>69982.371023951899</v>
      </c>
      <c r="P80" s="588">
        <v>42217.469460405096</v>
      </c>
      <c r="Q80" s="588">
        <v>48877.893775566699</v>
      </c>
      <c r="R80" s="588">
        <v>623131.79248744994</v>
      </c>
      <c r="S80" s="592">
        <v>0</v>
      </c>
      <c r="T80" s="592">
        <v>0</v>
      </c>
      <c r="U80" s="592">
        <v>119855.19403840099</v>
      </c>
      <c r="V80" s="592">
        <v>0</v>
      </c>
      <c r="W80" s="592">
        <v>0</v>
      </c>
      <c r="X80" s="592">
        <v>0</v>
      </c>
      <c r="Y80" s="592">
        <v>0</v>
      </c>
      <c r="Z80" s="592">
        <v>0</v>
      </c>
      <c r="AA80" s="592">
        <v>779180.38287473202</v>
      </c>
      <c r="AB80" s="592">
        <v>0</v>
      </c>
      <c r="AC80" s="592">
        <v>3228809.7526051798</v>
      </c>
      <c r="AD80" s="592">
        <v>0</v>
      </c>
      <c r="AE80" s="592">
        <v>1917201.54080351</v>
      </c>
      <c r="AF80" s="592">
        <v>55030526.899458401</v>
      </c>
      <c r="AG80" s="592">
        <v>44075965.6626461</v>
      </c>
      <c r="AH80" s="592">
        <v>0</v>
      </c>
      <c r="AI80" s="592">
        <v>0</v>
      </c>
      <c r="AJ80" s="460">
        <v>0</v>
      </c>
      <c r="AK80" s="460">
        <v>8.06182925207619E-2</v>
      </c>
      <c r="AL80" s="460">
        <v>6.0106780017430403E-2</v>
      </c>
      <c r="AM80" s="460">
        <v>3.6899523067607597E-2</v>
      </c>
      <c r="AN80" s="460">
        <v>1.63880105642761E-2</v>
      </c>
      <c r="AO80" s="460">
        <v>0.194958584901261</v>
      </c>
      <c r="AP80" s="460">
        <v>7.8700135111332593E-3</v>
      </c>
      <c r="AQ80" s="460">
        <v>2.8381526014464802E-2</v>
      </c>
      <c r="AR80" s="460">
        <v>5.1588782964287601E-2</v>
      </c>
      <c r="AS80" s="460">
        <v>7.2100295467618994E-2</v>
      </c>
      <c r="AT80" s="460">
        <v>0</v>
      </c>
      <c r="AU80" s="460">
        <v>0</v>
      </c>
      <c r="AV80" s="460">
        <v>0</v>
      </c>
      <c r="AW80" s="460">
        <v>0</v>
      </c>
      <c r="AX80" s="460">
        <v>-0.106470278869366</v>
      </c>
      <c r="AY80" s="460">
        <v>0</v>
      </c>
    </row>
    <row r="81" spans="1:51" x14ac:dyDescent="0.2">
      <c r="A81" s="588" t="s">
        <v>545</v>
      </c>
      <c r="B81" s="588" t="s">
        <v>228</v>
      </c>
      <c r="C81" s="588" t="s">
        <v>546</v>
      </c>
      <c r="D81" s="588">
        <v>94458964.956478104</v>
      </c>
      <c r="E81" s="588">
        <v>40623.279685560599</v>
      </c>
      <c r="F81" s="589">
        <v>1.46864186575311</v>
      </c>
      <c r="G81" s="589">
        <v>2.0893497434014998</v>
      </c>
      <c r="H81" s="588">
        <v>0</v>
      </c>
      <c r="I81" s="588">
        <v>67520992.618269399</v>
      </c>
      <c r="J81" s="588">
        <v>45975124.496158302</v>
      </c>
      <c r="K81" s="588">
        <v>32316749.664105501</v>
      </c>
      <c r="L81" s="460">
        <v>5000000</v>
      </c>
      <c r="M81" s="460">
        <v>29467206.147912901</v>
      </c>
      <c r="N81" s="460">
        <v>34467206.147912897</v>
      </c>
      <c r="O81" s="588">
        <v>1000000</v>
      </c>
      <c r="P81" s="588">
        <v>1000000</v>
      </c>
      <c r="Q81" s="588">
        <v>0</v>
      </c>
      <c r="R81" s="588">
        <v>3000000</v>
      </c>
      <c r="S81" s="592">
        <v>0</v>
      </c>
      <c r="T81" s="592">
        <v>0</v>
      </c>
      <c r="U81" s="592">
        <v>0</v>
      </c>
      <c r="V81" s="592">
        <v>0</v>
      </c>
      <c r="W81" s="592">
        <v>0</v>
      </c>
      <c r="X81" s="592">
        <v>0</v>
      </c>
      <c r="Y81" s="592">
        <v>0</v>
      </c>
      <c r="Z81" s="592">
        <v>0</v>
      </c>
      <c r="AA81" s="592">
        <v>29467206.147912901</v>
      </c>
      <c r="AB81" s="592">
        <v>0</v>
      </c>
      <c r="AC81" s="592">
        <v>44200809.221869297</v>
      </c>
      <c r="AD81" s="592">
        <v>0</v>
      </c>
      <c r="AE81" s="592">
        <v>12523562.612863</v>
      </c>
      <c r="AF81" s="592">
        <v>642629283.47472596</v>
      </c>
      <c r="AG81" s="592">
        <v>578366355.12725306</v>
      </c>
      <c r="AH81" s="592">
        <v>0</v>
      </c>
      <c r="AI81" s="592">
        <v>0</v>
      </c>
      <c r="AJ81" s="460">
        <v>0</v>
      </c>
      <c r="AK81" s="460">
        <v>7.9491353687132699E-2</v>
      </c>
      <c r="AL81" s="460">
        <v>7.0846314162141905E-2</v>
      </c>
      <c r="AM81" s="460">
        <v>5.5875915633085402E-2</v>
      </c>
      <c r="AN81" s="460">
        <v>4.7230876108094601E-2</v>
      </c>
      <c r="AO81" s="460">
        <v>0.212242804173887</v>
      </c>
      <c r="AP81" s="460">
        <v>3.7252976303178101E-2</v>
      </c>
      <c r="AQ81" s="460">
        <v>4.5898015828168999E-2</v>
      </c>
      <c r="AR81" s="460">
        <v>6.0868414357225398E-2</v>
      </c>
      <c r="AS81" s="460">
        <v>6.9513453882216303E-2</v>
      </c>
      <c r="AT81" s="460">
        <v>0</v>
      </c>
      <c r="AU81" s="460">
        <v>0</v>
      </c>
      <c r="AV81" s="460">
        <v>0</v>
      </c>
      <c r="AW81" s="460">
        <v>0</v>
      </c>
      <c r="AX81" s="460">
        <v>-9.5498474183576307E-2</v>
      </c>
      <c r="AY81" s="460">
        <v>0</v>
      </c>
    </row>
    <row r="82" spans="1:51" x14ac:dyDescent="0.2">
      <c r="A82" s="588" t="s">
        <v>447</v>
      </c>
      <c r="B82" s="588" t="s">
        <v>225</v>
      </c>
      <c r="C82" s="588" t="s">
        <v>94</v>
      </c>
      <c r="D82" s="588">
        <v>0</v>
      </c>
      <c r="E82" s="588">
        <v>0</v>
      </c>
      <c r="F82" s="589">
        <v>0</v>
      </c>
      <c r="G82" s="589">
        <v>0</v>
      </c>
      <c r="H82" s="588">
        <v>0</v>
      </c>
      <c r="I82" s="588">
        <v>0</v>
      </c>
      <c r="J82" s="588">
        <v>4004594.8530260599</v>
      </c>
      <c r="K82" s="588">
        <v>4004594.8530260599</v>
      </c>
      <c r="L82" s="460">
        <v>3345328.5</v>
      </c>
      <c r="M82" s="460">
        <v>0</v>
      </c>
      <c r="N82" s="460">
        <v>4004594.8530260599</v>
      </c>
      <c r="O82" s="588">
        <v>0</v>
      </c>
      <c r="P82" s="588">
        <v>0</v>
      </c>
      <c r="Q82" s="588">
        <v>0</v>
      </c>
      <c r="R82" s="588">
        <v>0</v>
      </c>
      <c r="S82" s="592">
        <v>0</v>
      </c>
      <c r="T82" s="592">
        <v>0</v>
      </c>
      <c r="U82" s="592">
        <v>0</v>
      </c>
      <c r="V82" s="592">
        <v>4004594.8530260599</v>
      </c>
      <c r="W82" s="592">
        <v>0</v>
      </c>
      <c r="X82" s="592">
        <v>0</v>
      </c>
      <c r="Y82" s="592">
        <v>0</v>
      </c>
      <c r="Z82" s="592">
        <v>0</v>
      </c>
      <c r="AA82" s="592">
        <v>0</v>
      </c>
      <c r="AB82" s="592">
        <v>0</v>
      </c>
      <c r="AC82" s="592">
        <v>0</v>
      </c>
      <c r="AD82" s="592">
        <v>0</v>
      </c>
      <c r="AE82" s="592">
        <v>0</v>
      </c>
      <c r="AF82" s="592">
        <v>0</v>
      </c>
      <c r="AG82" s="592">
        <v>0</v>
      </c>
      <c r="AH82" s="592">
        <v>0</v>
      </c>
      <c r="AI82" s="592">
        <v>0</v>
      </c>
      <c r="AJ82" s="460">
        <v>0</v>
      </c>
      <c r="AK82" s="460">
        <v>0</v>
      </c>
      <c r="AL82" s="460">
        <v>0</v>
      </c>
      <c r="AM82" s="460">
        <v>0</v>
      </c>
      <c r="AN82" s="460">
        <v>0</v>
      </c>
      <c r="AO82" s="460">
        <v>0</v>
      </c>
      <c r="AP82" s="460">
        <v>0</v>
      </c>
      <c r="AQ82" s="460">
        <v>0</v>
      </c>
      <c r="AR82" s="460">
        <v>0</v>
      </c>
      <c r="AS82" s="460">
        <v>0</v>
      </c>
      <c r="AT82" s="460">
        <v>0</v>
      </c>
      <c r="AU82" s="460">
        <v>0</v>
      </c>
      <c r="AV82" s="460">
        <v>0</v>
      </c>
      <c r="AW82" s="460">
        <v>0</v>
      </c>
      <c r="AX82" s="460">
        <v>0</v>
      </c>
      <c r="AY82" s="460">
        <v>0</v>
      </c>
    </row>
    <row r="83" spans="1:51" x14ac:dyDescent="0.2">
      <c r="A83" s="588" t="s">
        <v>445</v>
      </c>
      <c r="B83" s="588" t="s">
        <v>225</v>
      </c>
      <c r="C83" s="588" t="s">
        <v>95</v>
      </c>
      <c r="D83" s="588">
        <v>0</v>
      </c>
      <c r="E83" s="588">
        <v>0</v>
      </c>
      <c r="F83" s="589">
        <v>0</v>
      </c>
      <c r="G83" s="589">
        <v>0</v>
      </c>
      <c r="H83" s="588">
        <v>0</v>
      </c>
      <c r="I83" s="588">
        <v>0</v>
      </c>
      <c r="J83" s="588">
        <v>6006892.2795390999</v>
      </c>
      <c r="K83" s="588">
        <v>6006892.2795390999</v>
      </c>
      <c r="L83" s="460">
        <v>5017992.75</v>
      </c>
      <c r="M83" s="460">
        <v>0</v>
      </c>
      <c r="N83" s="460">
        <v>6006892.2795390999</v>
      </c>
      <c r="O83" s="588">
        <v>0</v>
      </c>
      <c r="P83" s="588">
        <v>0</v>
      </c>
      <c r="Q83" s="588">
        <v>0</v>
      </c>
      <c r="R83" s="588">
        <v>0</v>
      </c>
      <c r="S83" s="592">
        <v>0</v>
      </c>
      <c r="T83" s="592">
        <v>0</v>
      </c>
      <c r="U83" s="592">
        <v>0</v>
      </c>
      <c r="V83" s="592">
        <v>6006892.2795390999</v>
      </c>
      <c r="W83" s="592">
        <v>0</v>
      </c>
      <c r="X83" s="592">
        <v>0</v>
      </c>
      <c r="Y83" s="592">
        <v>0</v>
      </c>
      <c r="Z83" s="592">
        <v>0</v>
      </c>
      <c r="AA83" s="592">
        <v>0</v>
      </c>
      <c r="AB83" s="592">
        <v>0</v>
      </c>
      <c r="AC83" s="592">
        <v>0</v>
      </c>
      <c r="AD83" s="592">
        <v>0</v>
      </c>
      <c r="AE83" s="592">
        <v>0</v>
      </c>
      <c r="AF83" s="592">
        <v>0</v>
      </c>
      <c r="AG83" s="592">
        <v>0</v>
      </c>
      <c r="AH83" s="592">
        <v>0</v>
      </c>
      <c r="AI83" s="592">
        <v>0</v>
      </c>
      <c r="AJ83" s="460">
        <v>0</v>
      </c>
      <c r="AK83" s="460">
        <v>0</v>
      </c>
      <c r="AL83" s="460">
        <v>0</v>
      </c>
      <c r="AM83" s="460">
        <v>0</v>
      </c>
      <c r="AN83" s="460">
        <v>0</v>
      </c>
      <c r="AO83" s="460">
        <v>0</v>
      </c>
      <c r="AP83" s="460">
        <v>0</v>
      </c>
      <c r="AQ83" s="460">
        <v>0</v>
      </c>
      <c r="AR83" s="460">
        <v>0</v>
      </c>
      <c r="AS83" s="460">
        <v>0</v>
      </c>
      <c r="AT83" s="460">
        <v>0</v>
      </c>
      <c r="AU83" s="460">
        <v>0</v>
      </c>
      <c r="AV83" s="460">
        <v>0</v>
      </c>
      <c r="AW83" s="460">
        <v>0</v>
      </c>
      <c r="AX83" s="460">
        <v>0</v>
      </c>
      <c r="AY83" s="460">
        <v>0</v>
      </c>
    </row>
    <row r="84" spans="1:51" x14ac:dyDescent="0.2">
      <c r="H84" s="588"/>
      <c r="O84" s="588"/>
      <c r="P84" s="588"/>
      <c r="Q84" s="588"/>
      <c r="R84" s="588"/>
      <c r="S84" s="593"/>
      <c r="T84" s="593"/>
      <c r="U84" s="588"/>
    </row>
    <row r="85" spans="1:51" x14ac:dyDescent="0.2">
      <c r="H85" s="588"/>
      <c r="O85" s="588"/>
      <c r="P85" s="588"/>
      <c r="Q85" s="588"/>
      <c r="R85" s="588"/>
      <c r="S85" s="593"/>
      <c r="T85" s="593"/>
      <c r="U85" s="588"/>
    </row>
    <row r="86" spans="1:51" x14ac:dyDescent="0.2">
      <c r="H86" s="588"/>
      <c r="O86" s="588"/>
      <c r="P86" s="588"/>
      <c r="Q86" s="588"/>
      <c r="R86" s="588"/>
      <c r="S86" s="593"/>
      <c r="T86" s="593"/>
      <c r="U86" s="588"/>
    </row>
    <row r="87" spans="1:51" x14ac:dyDescent="0.2">
      <c r="H87" s="588"/>
      <c r="O87" s="588"/>
      <c r="P87" s="588"/>
      <c r="Q87" s="588"/>
      <c r="R87" s="588"/>
      <c r="S87" s="593"/>
      <c r="T87" s="593"/>
      <c r="U87" s="588"/>
    </row>
    <row r="88" spans="1:51" x14ac:dyDescent="0.2">
      <c r="H88" s="588"/>
    </row>
    <row r="89" spans="1:51" x14ac:dyDescent="0.2">
      <c r="H89" s="588"/>
    </row>
    <row r="90" spans="1:51" x14ac:dyDescent="0.2">
      <c r="H90" s="588"/>
    </row>
    <row r="91" spans="1:51" x14ac:dyDescent="0.2">
      <c r="H91" s="588"/>
    </row>
    <row r="92" spans="1:51" x14ac:dyDescent="0.2">
      <c r="H92" s="588"/>
    </row>
    <row r="93" spans="1:51" x14ac:dyDescent="0.2">
      <c r="H93" s="588"/>
    </row>
    <row r="94" spans="1:51" x14ac:dyDescent="0.2">
      <c r="H94" s="588"/>
    </row>
    <row r="95" spans="1:51" x14ac:dyDescent="0.2">
      <c r="H95" s="588"/>
    </row>
    <row r="96" spans="1:51" x14ac:dyDescent="0.2">
      <c r="H96" s="588"/>
    </row>
    <row r="97" spans="8:8" x14ac:dyDescent="0.2">
      <c r="H97" s="588"/>
    </row>
    <row r="98" spans="8:8" x14ac:dyDescent="0.2">
      <c r="H98" s="588"/>
    </row>
    <row r="99" spans="8:8" x14ac:dyDescent="0.2">
      <c r="H99" s="588"/>
    </row>
    <row r="100" spans="8:8" x14ac:dyDescent="0.2">
      <c r="H100" s="588"/>
    </row>
    <row r="101" spans="8:8" x14ac:dyDescent="0.2">
      <c r="H101" s="588"/>
    </row>
    <row r="102" spans="8:8" x14ac:dyDescent="0.2">
      <c r="H102" s="588"/>
    </row>
    <row r="103" spans="8:8" x14ac:dyDescent="0.2">
      <c r="H103" s="588"/>
    </row>
    <row r="104" spans="8:8" x14ac:dyDescent="0.2">
      <c r="H104" s="588"/>
    </row>
    <row r="105" spans="8:8" x14ac:dyDescent="0.2">
      <c r="H105" s="588"/>
    </row>
    <row r="106" spans="8:8" x14ac:dyDescent="0.2">
      <c r="H106" s="588"/>
    </row>
    <row r="107" spans="8:8" x14ac:dyDescent="0.2">
      <c r="H107" s="588"/>
    </row>
    <row r="108" spans="8:8" x14ac:dyDescent="0.2">
      <c r="H108" s="588"/>
    </row>
    <row r="109" spans="8:8" x14ac:dyDescent="0.2">
      <c r="H109" s="588"/>
    </row>
    <row r="110" spans="8:8" x14ac:dyDescent="0.2">
      <c r="H110" s="588"/>
    </row>
    <row r="111" spans="8:8" x14ac:dyDescent="0.2">
      <c r="H111" s="588"/>
    </row>
    <row r="112" spans="8:8" x14ac:dyDescent="0.2">
      <c r="H112" s="588"/>
    </row>
    <row r="113" spans="8:8" x14ac:dyDescent="0.2">
      <c r="H113" s="588"/>
    </row>
    <row r="114" spans="8:8" x14ac:dyDescent="0.2">
      <c r="H114" s="588"/>
    </row>
    <row r="115" spans="8:8" x14ac:dyDescent="0.2">
      <c r="H115" s="588"/>
    </row>
    <row r="116" spans="8:8" x14ac:dyDescent="0.2">
      <c r="H116" s="588"/>
    </row>
    <row r="117" spans="8:8" x14ac:dyDescent="0.2">
      <c r="H117" s="588"/>
    </row>
    <row r="118" spans="8:8" x14ac:dyDescent="0.2">
      <c r="H118" s="588"/>
    </row>
    <row r="119" spans="8:8" x14ac:dyDescent="0.2">
      <c r="H119" s="588"/>
    </row>
    <row r="120" spans="8:8" x14ac:dyDescent="0.2">
      <c r="H120" s="588"/>
    </row>
    <row r="121" spans="8:8" x14ac:dyDescent="0.2">
      <c r="H121" s="588"/>
    </row>
    <row r="122" spans="8:8" x14ac:dyDescent="0.2">
      <c r="H122" s="588"/>
    </row>
    <row r="123" spans="8:8" x14ac:dyDescent="0.2">
      <c r="H123" s="588"/>
    </row>
    <row r="124" spans="8:8" x14ac:dyDescent="0.2">
      <c r="H124" s="588"/>
    </row>
    <row r="125" spans="8:8" x14ac:dyDescent="0.2">
      <c r="H125" s="588"/>
    </row>
    <row r="126" spans="8:8" x14ac:dyDescent="0.2">
      <c r="H126" s="588"/>
    </row>
    <row r="127" spans="8:8" x14ac:dyDescent="0.2">
      <c r="H127" s="588"/>
    </row>
    <row r="128" spans="8:8" x14ac:dyDescent="0.2">
      <c r="H128" s="588"/>
    </row>
    <row r="129" spans="8:8" x14ac:dyDescent="0.2">
      <c r="H129" s="588"/>
    </row>
    <row r="130" spans="8:8" x14ac:dyDescent="0.2">
      <c r="H130" s="588"/>
    </row>
    <row r="131" spans="8:8" x14ac:dyDescent="0.2">
      <c r="H131" s="588"/>
    </row>
    <row r="132" spans="8:8" x14ac:dyDescent="0.2">
      <c r="H132" s="588"/>
    </row>
    <row r="133" spans="8:8" x14ac:dyDescent="0.2">
      <c r="H133" s="588"/>
    </row>
    <row r="134" spans="8:8" x14ac:dyDescent="0.2">
      <c r="H134" s="588"/>
    </row>
    <row r="135" spans="8:8" x14ac:dyDescent="0.2">
      <c r="H135" s="588"/>
    </row>
    <row r="136" spans="8:8" x14ac:dyDescent="0.2">
      <c r="H136" s="588"/>
    </row>
    <row r="137" spans="8:8" x14ac:dyDescent="0.2">
      <c r="H137" s="588"/>
    </row>
    <row r="138" spans="8:8" x14ac:dyDescent="0.2">
      <c r="H138" s="588"/>
    </row>
    <row r="139" spans="8:8" x14ac:dyDescent="0.2">
      <c r="H139" s="588"/>
    </row>
    <row r="140" spans="8:8" x14ac:dyDescent="0.2">
      <c r="H140" s="588"/>
    </row>
    <row r="141" spans="8:8" x14ac:dyDescent="0.2">
      <c r="H141" s="588"/>
    </row>
    <row r="142" spans="8:8" x14ac:dyDescent="0.2">
      <c r="H142" s="588"/>
    </row>
    <row r="143" spans="8:8" x14ac:dyDescent="0.2">
      <c r="H143" s="588"/>
    </row>
    <row r="144" spans="8:8" x14ac:dyDescent="0.2">
      <c r="H144" s="588"/>
    </row>
    <row r="145" spans="8:8" x14ac:dyDescent="0.2">
      <c r="H145" s="588"/>
    </row>
    <row r="146" spans="8:8" x14ac:dyDescent="0.2">
      <c r="H146" s="588"/>
    </row>
    <row r="147" spans="8:8" x14ac:dyDescent="0.2">
      <c r="H147" s="588"/>
    </row>
    <row r="148" spans="8:8" x14ac:dyDescent="0.2">
      <c r="H148" s="588"/>
    </row>
    <row r="149" spans="8:8" x14ac:dyDescent="0.2">
      <c r="H149" s="588"/>
    </row>
    <row r="150" spans="8:8" x14ac:dyDescent="0.2">
      <c r="H150" s="588"/>
    </row>
    <row r="151" spans="8:8" x14ac:dyDescent="0.2">
      <c r="H151" s="588"/>
    </row>
    <row r="152" spans="8:8" x14ac:dyDescent="0.2">
      <c r="H152" s="588"/>
    </row>
    <row r="153" spans="8:8" x14ac:dyDescent="0.2">
      <c r="H153" s="588"/>
    </row>
    <row r="154" spans="8:8" x14ac:dyDescent="0.2">
      <c r="H154" s="588"/>
    </row>
    <row r="155" spans="8:8" x14ac:dyDescent="0.2">
      <c r="H155" s="588"/>
    </row>
    <row r="156" spans="8:8" x14ac:dyDescent="0.2">
      <c r="H156" s="588"/>
    </row>
    <row r="157" spans="8:8" x14ac:dyDescent="0.2">
      <c r="H157" s="588"/>
    </row>
    <row r="158" spans="8:8" x14ac:dyDescent="0.2">
      <c r="H158" s="588"/>
    </row>
    <row r="159" spans="8:8" x14ac:dyDescent="0.2">
      <c r="H159" s="588"/>
    </row>
    <row r="160" spans="8:8" x14ac:dyDescent="0.2">
      <c r="H160" s="588"/>
    </row>
    <row r="161" spans="8:8" x14ac:dyDescent="0.2">
      <c r="H161" s="588"/>
    </row>
    <row r="162" spans="8:8" x14ac:dyDescent="0.2">
      <c r="H162" s="588"/>
    </row>
    <row r="163" spans="8:8" x14ac:dyDescent="0.2">
      <c r="H163" s="588"/>
    </row>
    <row r="164" spans="8:8" x14ac:dyDescent="0.2">
      <c r="H164" s="588"/>
    </row>
    <row r="165" spans="8:8" x14ac:dyDescent="0.2">
      <c r="H165" s="588"/>
    </row>
    <row r="166" spans="8:8" x14ac:dyDescent="0.2">
      <c r="H166" s="588"/>
    </row>
    <row r="167" spans="8:8" x14ac:dyDescent="0.2">
      <c r="H167" s="588"/>
    </row>
    <row r="168" spans="8:8" x14ac:dyDescent="0.2">
      <c r="H168" s="588"/>
    </row>
    <row r="169" spans="8:8" x14ac:dyDescent="0.2">
      <c r="H169" s="588"/>
    </row>
    <row r="170" spans="8:8" x14ac:dyDescent="0.2">
      <c r="H170" s="588"/>
    </row>
    <row r="171" spans="8:8" x14ac:dyDescent="0.2">
      <c r="H171" s="588"/>
    </row>
    <row r="172" spans="8:8" x14ac:dyDescent="0.2">
      <c r="H172" s="588"/>
    </row>
    <row r="173" spans="8:8" x14ac:dyDescent="0.2">
      <c r="H173" s="588"/>
    </row>
    <row r="174" spans="8:8" x14ac:dyDescent="0.2">
      <c r="H174" s="588"/>
    </row>
    <row r="175" spans="8:8" x14ac:dyDescent="0.2">
      <c r="H175" s="588"/>
    </row>
  </sheetData>
  <autoFilter ref="A1:G83"/>
  <pageMargins left="0.7" right="0.7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8"/>
  <sheetViews>
    <sheetView topLeftCell="R1" zoomScale="90" zoomScaleNormal="90" zoomScalePageLayoutView="90" workbookViewId="0">
      <pane ySplit="1" topLeftCell="A65" activePane="bottomLeft" state="frozen"/>
      <selection activeCell="E1" sqref="E1"/>
      <selection pane="bottomLeft" activeCell="Y90" sqref="Y90"/>
    </sheetView>
  </sheetViews>
  <sheetFormatPr baseColWidth="10" defaultColWidth="8.83203125" defaultRowHeight="15" x14ac:dyDescent="0.2"/>
  <cols>
    <col min="1" max="1" width="17.1640625" style="187" bestFit="1" customWidth="1"/>
    <col min="2" max="2" width="17.5" style="187" bestFit="1" customWidth="1"/>
    <col min="3" max="3" width="54.5" style="187" bestFit="1" customWidth="1"/>
    <col min="4" max="4" width="19.33203125" style="189" bestFit="1" customWidth="1"/>
    <col min="5" max="5" width="24.33203125" style="189" bestFit="1" customWidth="1"/>
    <col min="6" max="6" width="17.5" style="187" bestFit="1" customWidth="1"/>
    <col min="7" max="7" width="13.1640625" style="187" bestFit="1" customWidth="1"/>
    <col min="8" max="8" width="13.1640625" style="187" customWidth="1"/>
    <col min="9" max="9" width="13.83203125" style="187" bestFit="1" customWidth="1"/>
    <col min="10" max="10" width="14.33203125" style="187" customWidth="1"/>
    <col min="11" max="11" width="10" style="187" bestFit="1" customWidth="1"/>
    <col min="12" max="13" width="23.83203125" style="460" customWidth="1"/>
    <col min="14" max="18" width="15.83203125" style="460" customWidth="1"/>
    <col min="19" max="20" width="15.83203125" style="594" customWidth="1"/>
    <col min="21" max="35" width="15.83203125" style="460" customWidth="1"/>
    <col min="36" max="53" width="8.83203125" style="460"/>
    <col min="54" max="16384" width="8.83203125" style="187"/>
  </cols>
  <sheetData>
    <row r="1" spans="1:53" x14ac:dyDescent="0.2">
      <c r="A1" s="585" t="s">
        <v>103</v>
      </c>
      <c r="B1" s="585" t="s">
        <v>221</v>
      </c>
      <c r="C1" s="585" t="s">
        <v>535</v>
      </c>
      <c r="D1" s="586" t="s">
        <v>605</v>
      </c>
      <c r="E1" s="586" t="s">
        <v>606</v>
      </c>
      <c r="F1" s="585" t="s">
        <v>607</v>
      </c>
      <c r="G1" s="585" t="s">
        <v>608</v>
      </c>
      <c r="H1" s="585" t="s">
        <v>598</v>
      </c>
      <c r="I1" s="585" t="s">
        <v>609</v>
      </c>
      <c r="J1" s="587" t="s">
        <v>203</v>
      </c>
      <c r="K1" s="587" t="s">
        <v>213</v>
      </c>
      <c r="L1" s="585" t="s">
        <v>551</v>
      </c>
      <c r="M1" s="590" t="s">
        <v>552</v>
      </c>
      <c r="N1" s="590" t="s">
        <v>553</v>
      </c>
      <c r="O1" s="585" t="s">
        <v>554</v>
      </c>
      <c r="P1" s="585" t="s">
        <v>555</v>
      </c>
      <c r="Q1" s="585" t="s">
        <v>556</v>
      </c>
      <c r="R1" s="585" t="s">
        <v>557</v>
      </c>
      <c r="S1" s="585" t="s">
        <v>558</v>
      </c>
      <c r="T1" s="585" t="s">
        <v>559</v>
      </c>
      <c r="U1" s="585" t="s">
        <v>560</v>
      </c>
      <c r="V1" s="585" t="s">
        <v>561</v>
      </c>
      <c r="W1" s="585" t="s">
        <v>562</v>
      </c>
      <c r="X1" s="585" t="s">
        <v>563</v>
      </c>
      <c r="Y1" s="585" t="s">
        <v>564</v>
      </c>
      <c r="Z1" s="585" t="s">
        <v>565</v>
      </c>
      <c r="AA1" s="585" t="s">
        <v>566</v>
      </c>
      <c r="AB1" s="585" t="s">
        <v>567</v>
      </c>
      <c r="AC1" s="585" t="s">
        <v>568</v>
      </c>
      <c r="AD1" s="585" t="s">
        <v>569</v>
      </c>
      <c r="AE1" s="585" t="s">
        <v>570</v>
      </c>
      <c r="AF1" s="585" t="s">
        <v>571</v>
      </c>
      <c r="AG1" s="585" t="s">
        <v>572</v>
      </c>
      <c r="AH1" s="585" t="s">
        <v>573</v>
      </c>
      <c r="AI1" s="585" t="s">
        <v>574</v>
      </c>
      <c r="AJ1" s="591" t="s">
        <v>575</v>
      </c>
      <c r="AK1" s="591" t="s">
        <v>576</v>
      </c>
      <c r="AL1" s="591" t="s">
        <v>577</v>
      </c>
      <c r="AM1" s="591" t="s">
        <v>578</v>
      </c>
      <c r="AN1" s="591" t="s">
        <v>579</v>
      </c>
      <c r="AO1" s="591" t="s">
        <v>580</v>
      </c>
      <c r="AP1" s="591" t="s">
        <v>581</v>
      </c>
      <c r="AQ1" s="591" t="s">
        <v>582</v>
      </c>
      <c r="AR1" s="591" t="s">
        <v>583</v>
      </c>
      <c r="AS1" s="591" t="s">
        <v>584</v>
      </c>
      <c r="AT1" s="591" t="s">
        <v>585</v>
      </c>
      <c r="AU1" s="591" t="s">
        <v>586</v>
      </c>
      <c r="AV1" s="591" t="s">
        <v>587</v>
      </c>
      <c r="AW1" s="591" t="s">
        <v>588</v>
      </c>
      <c r="AX1" s="591" t="s">
        <v>589</v>
      </c>
      <c r="AY1" s="591" t="s">
        <v>590</v>
      </c>
      <c r="AZ1" s="591" t="s">
        <v>591</v>
      </c>
      <c r="BA1" s="591"/>
    </row>
    <row r="2" spans="1:53" x14ac:dyDescent="0.2">
      <c r="A2" s="588" t="s">
        <v>540</v>
      </c>
      <c r="B2" s="588" t="s">
        <v>541</v>
      </c>
      <c r="C2" s="588" t="s">
        <v>541</v>
      </c>
      <c r="D2" s="588">
        <v>0</v>
      </c>
      <c r="E2" s="588">
        <v>0</v>
      </c>
      <c r="F2" s="589">
        <v>0</v>
      </c>
      <c r="G2" s="589">
        <v>0</v>
      </c>
      <c r="H2" s="588">
        <v>0</v>
      </c>
      <c r="I2" s="588">
        <v>0</v>
      </c>
      <c r="J2" s="588">
        <v>18025000</v>
      </c>
      <c r="K2" s="588">
        <v>18025000</v>
      </c>
      <c r="L2" s="460">
        <v>18025000</v>
      </c>
      <c r="M2" s="460">
        <v>0</v>
      </c>
      <c r="N2" s="460">
        <v>18025000</v>
      </c>
      <c r="O2" s="588">
        <v>0</v>
      </c>
      <c r="P2" s="588">
        <v>0</v>
      </c>
      <c r="Q2" s="588">
        <v>0</v>
      </c>
      <c r="R2" s="588">
        <v>18025000</v>
      </c>
      <c r="S2" s="592">
        <v>0</v>
      </c>
      <c r="T2" s="592">
        <v>0</v>
      </c>
      <c r="U2" s="592">
        <v>0</v>
      </c>
      <c r="V2" s="592">
        <v>0</v>
      </c>
      <c r="W2" s="592">
        <v>0</v>
      </c>
      <c r="X2" s="592">
        <v>0</v>
      </c>
      <c r="Y2" s="592">
        <v>0</v>
      </c>
      <c r="Z2" s="592">
        <v>0</v>
      </c>
      <c r="AA2" s="592">
        <v>0</v>
      </c>
      <c r="AB2" s="592">
        <v>0</v>
      </c>
      <c r="AC2" s="592">
        <v>0</v>
      </c>
      <c r="AD2" s="592">
        <v>0</v>
      </c>
      <c r="AE2" s="592">
        <v>0</v>
      </c>
      <c r="AF2" s="592">
        <v>0</v>
      </c>
      <c r="AG2" s="592">
        <v>0</v>
      </c>
      <c r="AH2" s="592">
        <v>0</v>
      </c>
      <c r="AI2" s="592">
        <v>0</v>
      </c>
      <c r="AJ2" s="460">
        <v>0</v>
      </c>
      <c r="AK2" s="460">
        <v>0</v>
      </c>
      <c r="AL2" s="460">
        <v>0</v>
      </c>
      <c r="AM2" s="460">
        <v>0</v>
      </c>
      <c r="AN2" s="460">
        <v>0</v>
      </c>
      <c r="AO2" s="460">
        <v>0</v>
      </c>
      <c r="AP2" s="460">
        <v>0</v>
      </c>
      <c r="AQ2" s="460">
        <v>0</v>
      </c>
      <c r="AR2" s="460">
        <v>0</v>
      </c>
      <c r="AS2" s="460">
        <v>0</v>
      </c>
      <c r="AT2" s="460">
        <v>0</v>
      </c>
      <c r="AU2" s="460">
        <v>0</v>
      </c>
      <c r="AV2" s="460">
        <v>0</v>
      </c>
      <c r="AW2" s="460">
        <v>0</v>
      </c>
      <c r="AX2" s="460">
        <v>0</v>
      </c>
      <c r="AY2" s="460">
        <v>0</v>
      </c>
      <c r="AZ2" s="460">
        <v>0</v>
      </c>
    </row>
    <row r="3" spans="1:53" x14ac:dyDescent="0.2">
      <c r="A3" s="588" t="s">
        <v>379</v>
      </c>
      <c r="B3" s="588" t="s">
        <v>231</v>
      </c>
      <c r="C3" s="588" t="s">
        <v>43</v>
      </c>
      <c r="D3" s="588">
        <v>3005985.6085528899</v>
      </c>
      <c r="E3" s="588">
        <v>341.40761444842002</v>
      </c>
      <c r="F3" s="589">
        <v>0.69536272869206395</v>
      </c>
      <c r="G3" s="589">
        <v>1.0285343298782501</v>
      </c>
      <c r="H3" s="588">
        <v>-399.565803594881</v>
      </c>
      <c r="I3" s="588">
        <v>1365940.5002892599</v>
      </c>
      <c r="J3" s="588">
        <v>1963782.17891281</v>
      </c>
      <c r="K3" s="588">
        <v>1327657.1280292601</v>
      </c>
      <c r="L3" s="460">
        <v>198848.378405625</v>
      </c>
      <c r="M3" s="460">
        <v>1217671.96082026</v>
      </c>
      <c r="N3" s="460">
        <v>1416520.3392258801</v>
      </c>
      <c r="O3" s="588">
        <v>80512.292758432799</v>
      </c>
      <c r="P3" s="588">
        <v>13760.586617896</v>
      </c>
      <c r="Q3" s="588">
        <v>5061.8994420541203</v>
      </c>
      <c r="R3" s="588">
        <v>93393.483110004396</v>
      </c>
      <c r="S3" s="592">
        <v>0</v>
      </c>
      <c r="T3" s="592">
        <v>0</v>
      </c>
      <c r="U3" s="592">
        <v>6120.1164772374996</v>
      </c>
      <c r="V3" s="592">
        <v>0</v>
      </c>
      <c r="W3" s="592">
        <v>0</v>
      </c>
      <c r="X3" s="592">
        <v>0</v>
      </c>
      <c r="Y3" s="592">
        <v>0</v>
      </c>
      <c r="Z3" s="592">
        <v>0</v>
      </c>
      <c r="AA3" s="592">
        <v>1217671.96082026</v>
      </c>
      <c r="AB3" s="592">
        <v>0</v>
      </c>
      <c r="AC3" s="592">
        <v>2179701.3618826699</v>
      </c>
      <c r="AD3" s="592">
        <v>0</v>
      </c>
      <c r="AE3" s="592">
        <v>577217.65517012496</v>
      </c>
      <c r="AF3" s="592">
        <v>23066846.749437898</v>
      </c>
      <c r="AG3" s="592">
        <v>14993450.6945104</v>
      </c>
      <c r="AH3" s="592">
        <v>-737.90319252518498</v>
      </c>
      <c r="AI3" s="592">
        <v>-405.84675588885199</v>
      </c>
      <c r="AJ3" s="460">
        <v>9.1102477216227204E-2</v>
      </c>
      <c r="AK3" s="460">
        <v>0.98452383269587795</v>
      </c>
      <c r="AL3" s="460">
        <v>0.13101432311102701</v>
      </c>
      <c r="AM3" s="460">
        <v>0.11774809329272699</v>
      </c>
      <c r="AN3" s="460">
        <v>8.8575047589331296E-2</v>
      </c>
      <c r="AO3" s="460">
        <v>7.5308817771031905E-2</v>
      </c>
      <c r="AP3" s="460">
        <v>0.24737851702394101</v>
      </c>
      <c r="AQ3" s="460">
        <v>-3.9911845894799403E-2</v>
      </c>
      <c r="AR3" s="460">
        <v>-2.6645616076500001E-2</v>
      </c>
      <c r="AS3" s="460">
        <v>2.5274296268958298E-3</v>
      </c>
      <c r="AT3" s="460">
        <v>1.5793659445195299E-2</v>
      </c>
      <c r="AU3" s="460">
        <v>-0.43131827685752</v>
      </c>
      <c r="AV3" s="460">
        <v>-0.287953136575539</v>
      </c>
      <c r="AW3" s="460">
        <v>2.7313359407428899E-2</v>
      </c>
      <c r="AX3" s="460">
        <v>0.17067849968941101</v>
      </c>
      <c r="AY3" s="460">
        <v>-0.15627603980771401</v>
      </c>
      <c r="AZ3" s="460">
        <v>-1.68883975904328</v>
      </c>
    </row>
    <row r="4" spans="1:53" x14ac:dyDescent="0.2">
      <c r="A4" s="588" t="s">
        <v>380</v>
      </c>
      <c r="B4" s="588" t="s">
        <v>231</v>
      </c>
      <c r="C4" s="588" t="s">
        <v>44</v>
      </c>
      <c r="D4" s="588">
        <v>1481702.1475760499</v>
      </c>
      <c r="E4" s="588">
        <v>205.71364891160499</v>
      </c>
      <c r="F4" s="589">
        <v>0.86658841188056002</v>
      </c>
      <c r="G4" s="589">
        <v>1.3388066216321199</v>
      </c>
      <c r="H4" s="588">
        <v>0</v>
      </c>
      <c r="I4" s="588">
        <v>305603.52412162803</v>
      </c>
      <c r="J4" s="588">
        <v>352651.293199785</v>
      </c>
      <c r="K4" s="588">
        <v>228265.62042923699</v>
      </c>
      <c r="L4" s="460">
        <v>82600.334623199902</v>
      </c>
      <c r="M4" s="460">
        <v>157132.494100546</v>
      </c>
      <c r="N4" s="460">
        <v>239732.828723746</v>
      </c>
      <c r="O4" s="588">
        <v>12807.463945112</v>
      </c>
      <c r="P4" s="588">
        <v>7947.1007487511497</v>
      </c>
      <c r="Q4" s="588">
        <v>1493.5739317436201</v>
      </c>
      <c r="R4" s="588">
        <v>55762.322839457796</v>
      </c>
      <c r="S4" s="592">
        <v>0</v>
      </c>
      <c r="T4" s="592">
        <v>0</v>
      </c>
      <c r="U4" s="592">
        <v>4589.8731581354205</v>
      </c>
      <c r="V4" s="592">
        <v>0</v>
      </c>
      <c r="W4" s="592">
        <v>0</v>
      </c>
      <c r="X4" s="592">
        <v>0</v>
      </c>
      <c r="Y4" s="592">
        <v>0</v>
      </c>
      <c r="Z4" s="592">
        <v>0</v>
      </c>
      <c r="AA4" s="592">
        <v>157132.494100546</v>
      </c>
      <c r="AB4" s="592">
        <v>0</v>
      </c>
      <c r="AC4" s="592">
        <v>351472.58140763501</v>
      </c>
      <c r="AD4" s="592">
        <v>0</v>
      </c>
      <c r="AE4" s="592">
        <v>116604.057017682</v>
      </c>
      <c r="AF4" s="592">
        <v>5924125.5476275999</v>
      </c>
      <c r="AG4" s="592">
        <v>3850681.7472001002</v>
      </c>
      <c r="AH4" s="592">
        <v>0</v>
      </c>
      <c r="AI4" s="592">
        <v>0</v>
      </c>
      <c r="AJ4" s="460">
        <v>7.9363485269546702E-2</v>
      </c>
      <c r="AK4" s="460">
        <v>0</v>
      </c>
      <c r="AL4" s="460">
        <v>9.1581521494526003E-2</v>
      </c>
      <c r="AM4" s="460">
        <v>7.0130687578360301E-2</v>
      </c>
      <c r="AN4" s="460">
        <v>5.9279274532415702E-2</v>
      </c>
      <c r="AO4" s="460">
        <v>3.7828440616250097E-2</v>
      </c>
      <c r="AP4" s="460">
        <v>0.21093860873581699</v>
      </c>
      <c r="AQ4" s="460">
        <v>-1.2218036224979301E-2</v>
      </c>
      <c r="AR4" s="460">
        <v>9.2327976911863504E-3</v>
      </c>
      <c r="AS4" s="460">
        <v>2.00842107371309E-2</v>
      </c>
      <c r="AT4" s="460">
        <v>4.1535044653296598E-2</v>
      </c>
      <c r="AU4" s="460">
        <v>0</v>
      </c>
      <c r="AV4" s="460">
        <v>0</v>
      </c>
      <c r="AW4" s="460">
        <v>0</v>
      </c>
      <c r="AX4" s="460">
        <v>0</v>
      </c>
      <c r="AY4" s="460">
        <v>-0.13157512346627001</v>
      </c>
      <c r="AZ4" s="460">
        <v>0</v>
      </c>
    </row>
    <row r="5" spans="1:53" x14ac:dyDescent="0.2">
      <c r="A5" s="588" t="s">
        <v>381</v>
      </c>
      <c r="B5" s="588" t="s">
        <v>231</v>
      </c>
      <c r="C5" s="588" t="s">
        <v>45</v>
      </c>
      <c r="D5" s="588">
        <v>66126</v>
      </c>
      <c r="E5" s="588">
        <v>0.69818629751290495</v>
      </c>
      <c r="F5" s="589">
        <v>0.20302094570624901</v>
      </c>
      <c r="G5" s="589">
        <v>0.26050911286919998</v>
      </c>
      <c r="H5" s="588">
        <v>0</v>
      </c>
      <c r="I5" s="588">
        <v>33957.459111517797</v>
      </c>
      <c r="J5" s="588">
        <v>167260.86558896699</v>
      </c>
      <c r="K5" s="588">
        <v>130350.36946507001</v>
      </c>
      <c r="L5" s="460">
        <v>118686.63397080899</v>
      </c>
      <c r="M5" s="460">
        <v>12581.9397435761</v>
      </c>
      <c r="N5" s="460">
        <v>131268.57371438501</v>
      </c>
      <c r="O5" s="588">
        <v>9405.1171361576398</v>
      </c>
      <c r="P5" s="588">
        <v>9290.2855321140396</v>
      </c>
      <c r="Q5" s="588">
        <v>0</v>
      </c>
      <c r="R5" s="588">
        <v>95401.358144401602</v>
      </c>
      <c r="S5" s="592">
        <v>0</v>
      </c>
      <c r="T5" s="592">
        <v>0</v>
      </c>
      <c r="U5" s="592">
        <v>4589.8731581354205</v>
      </c>
      <c r="V5" s="592">
        <v>0</v>
      </c>
      <c r="W5" s="592">
        <v>0</v>
      </c>
      <c r="X5" s="592">
        <v>0</v>
      </c>
      <c r="Y5" s="592">
        <v>0</v>
      </c>
      <c r="Z5" s="592">
        <v>0</v>
      </c>
      <c r="AA5" s="592">
        <v>12581.9397435761</v>
      </c>
      <c r="AB5" s="592">
        <v>0</v>
      </c>
      <c r="AC5" s="592">
        <v>72869.790029276206</v>
      </c>
      <c r="AD5" s="592">
        <v>0</v>
      </c>
      <c r="AE5" s="592">
        <v>36172.711608794503</v>
      </c>
      <c r="AF5" s="592">
        <v>446644.12962369702</v>
      </c>
      <c r="AG5" s="592">
        <v>290318.69490422902</v>
      </c>
      <c r="AH5" s="592">
        <v>0</v>
      </c>
      <c r="AI5" s="592">
        <v>0</v>
      </c>
      <c r="AJ5" s="460">
        <v>0.116966146884615</v>
      </c>
      <c r="AK5" s="460">
        <v>0</v>
      </c>
      <c r="AL5" s="460">
        <v>0.57612847028036895</v>
      </c>
      <c r="AM5" s="460">
        <v>0.167313481600563</v>
      </c>
      <c r="AN5" s="460">
        <v>0.44899061532386098</v>
      </c>
      <c r="AO5" s="460">
        <v>4.0175626644053997E-2</v>
      </c>
      <c r="AP5" s="460">
        <v>0.60736265423178504</v>
      </c>
      <c r="AQ5" s="460">
        <v>-0.45916232339575402</v>
      </c>
      <c r="AR5" s="460">
        <v>-5.0347334715947399E-2</v>
      </c>
      <c r="AS5" s="460">
        <v>-0.33202446843924599</v>
      </c>
      <c r="AT5" s="460">
        <v>7.67905202405611E-2</v>
      </c>
      <c r="AU5" s="460">
        <v>0</v>
      </c>
      <c r="AV5" s="460">
        <v>0</v>
      </c>
      <c r="AW5" s="460">
        <v>0</v>
      </c>
      <c r="AX5" s="460">
        <v>0</v>
      </c>
      <c r="AY5" s="460">
        <v>-0.49039650734717</v>
      </c>
      <c r="AZ5" s="460">
        <v>0</v>
      </c>
    </row>
    <row r="6" spans="1:53" x14ac:dyDescent="0.2">
      <c r="A6" s="588" t="s">
        <v>382</v>
      </c>
      <c r="B6" s="588" t="s">
        <v>231</v>
      </c>
      <c r="C6" s="588" t="s">
        <v>47</v>
      </c>
      <c r="D6" s="588">
        <v>2273204.4895000001</v>
      </c>
      <c r="E6" s="588">
        <v>244.511376633738</v>
      </c>
      <c r="F6" s="589">
        <v>0.61218352315204005</v>
      </c>
      <c r="G6" s="589">
        <v>0.86662356357751702</v>
      </c>
      <c r="H6" s="588">
        <v>0</v>
      </c>
      <c r="I6" s="588">
        <v>830769.49195372604</v>
      </c>
      <c r="J6" s="588">
        <v>1357059.5426616799</v>
      </c>
      <c r="K6" s="588">
        <v>958627.85974133702</v>
      </c>
      <c r="L6" s="460">
        <v>259662.51763869901</v>
      </c>
      <c r="M6" s="460">
        <v>753989.990728984</v>
      </c>
      <c r="N6" s="460">
        <v>1013652.50836768</v>
      </c>
      <c r="O6" s="588">
        <v>72220.599422391402</v>
      </c>
      <c r="P6" s="588">
        <v>14469.970310261901</v>
      </c>
      <c r="Q6" s="588">
        <v>12400.1657018197</v>
      </c>
      <c r="R6" s="588">
        <v>155981.90904609099</v>
      </c>
      <c r="S6" s="592">
        <v>0</v>
      </c>
      <c r="T6" s="592">
        <v>0</v>
      </c>
      <c r="U6" s="592">
        <v>4589.8731581354205</v>
      </c>
      <c r="V6" s="592">
        <v>0</v>
      </c>
      <c r="W6" s="592">
        <v>0</v>
      </c>
      <c r="X6" s="592">
        <v>0</v>
      </c>
      <c r="Y6" s="592">
        <v>0</v>
      </c>
      <c r="Z6" s="592">
        <v>0</v>
      </c>
      <c r="AA6" s="592">
        <v>753989.990728984</v>
      </c>
      <c r="AB6" s="592">
        <v>0</v>
      </c>
      <c r="AC6" s="592">
        <v>1357217.5571684099</v>
      </c>
      <c r="AD6" s="592">
        <v>0</v>
      </c>
      <c r="AE6" s="592">
        <v>361936.542436463</v>
      </c>
      <c r="AF6" s="592">
        <v>14515137.534899401</v>
      </c>
      <c r="AG6" s="592">
        <v>9434839.4616888799</v>
      </c>
      <c r="AH6" s="592">
        <v>0</v>
      </c>
      <c r="AI6" s="592">
        <v>0</v>
      </c>
      <c r="AJ6" s="460">
        <v>8.8053378685154005E-2</v>
      </c>
      <c r="AK6" s="460">
        <v>0</v>
      </c>
      <c r="AL6" s="460">
        <v>0.14383493732693201</v>
      </c>
      <c r="AM6" s="460">
        <v>0.116313269502791</v>
      </c>
      <c r="AN6" s="460">
        <v>0.101605105591244</v>
      </c>
      <c r="AO6" s="460">
        <v>7.4083437767103202E-2</v>
      </c>
      <c r="AP6" s="460">
        <v>0.25930881543253298</v>
      </c>
      <c r="AQ6" s="460">
        <v>-5.5781558641777799E-2</v>
      </c>
      <c r="AR6" s="460">
        <v>-2.8259890817636701E-2</v>
      </c>
      <c r="AS6" s="460">
        <v>-1.35517269060903E-2</v>
      </c>
      <c r="AT6" s="460">
        <v>1.39699409180508E-2</v>
      </c>
      <c r="AU6" s="460">
        <v>0</v>
      </c>
      <c r="AV6" s="460">
        <v>0</v>
      </c>
      <c r="AW6" s="460">
        <v>0</v>
      </c>
      <c r="AX6" s="460">
        <v>0</v>
      </c>
      <c r="AY6" s="460">
        <v>-0.171255436747379</v>
      </c>
      <c r="AZ6" s="460">
        <v>0</v>
      </c>
    </row>
    <row r="7" spans="1:53" x14ac:dyDescent="0.2">
      <c r="A7" s="588" t="s">
        <v>383</v>
      </c>
      <c r="B7" s="588" t="s">
        <v>231</v>
      </c>
      <c r="C7" s="588" t="s">
        <v>48</v>
      </c>
      <c r="D7" s="588">
        <v>185583.08249999999</v>
      </c>
      <c r="E7" s="588">
        <v>21.433461334127401</v>
      </c>
      <c r="F7" s="589">
        <v>7.7229440716513498E-2</v>
      </c>
      <c r="G7" s="589">
        <v>0.11020491215820399</v>
      </c>
      <c r="H7" s="588">
        <v>0</v>
      </c>
      <c r="I7" s="588">
        <v>69899.723107353304</v>
      </c>
      <c r="J7" s="588">
        <v>905091.66528778302</v>
      </c>
      <c r="K7" s="588">
        <v>634270.48521221499</v>
      </c>
      <c r="L7" s="460">
        <v>597205.58621614496</v>
      </c>
      <c r="M7" s="460">
        <v>39982.759039737401</v>
      </c>
      <c r="N7" s="460">
        <v>637188.34525588201</v>
      </c>
      <c r="O7" s="588">
        <v>50759.837044539301</v>
      </c>
      <c r="P7" s="588">
        <v>27624.074849703899</v>
      </c>
      <c r="Q7" s="588">
        <v>24345.420786307001</v>
      </c>
      <c r="R7" s="588">
        <v>468772.27841069998</v>
      </c>
      <c r="S7" s="592">
        <v>0</v>
      </c>
      <c r="T7" s="592">
        <v>0</v>
      </c>
      <c r="U7" s="592">
        <v>25703.975124895001</v>
      </c>
      <c r="V7" s="592">
        <v>0</v>
      </c>
      <c r="W7" s="592">
        <v>0</v>
      </c>
      <c r="X7" s="592">
        <v>0</v>
      </c>
      <c r="Y7" s="592">
        <v>0</v>
      </c>
      <c r="Z7" s="592">
        <v>0</v>
      </c>
      <c r="AA7" s="592">
        <v>39982.759039737401</v>
      </c>
      <c r="AB7" s="592">
        <v>0</v>
      </c>
      <c r="AC7" s="592">
        <v>485343.69003276998</v>
      </c>
      <c r="AD7" s="592">
        <v>0</v>
      </c>
      <c r="AE7" s="592">
        <v>267873.85133301798</v>
      </c>
      <c r="AF7" s="592">
        <v>869881.77806691697</v>
      </c>
      <c r="AG7" s="592">
        <v>599516.90175269195</v>
      </c>
      <c r="AH7" s="592">
        <v>0</v>
      </c>
      <c r="AI7" s="592">
        <v>0</v>
      </c>
      <c r="AJ7" s="460">
        <v>0.11659341530322299</v>
      </c>
      <c r="AK7" s="460">
        <v>0</v>
      </c>
      <c r="AL7" s="460">
        <v>1.50970166586086</v>
      </c>
      <c r="AM7" s="460">
        <v>0.51355696256691097</v>
      </c>
      <c r="AN7" s="460">
        <v>1.0579693138891</v>
      </c>
      <c r="AO7" s="460">
        <v>6.1824610595148002E-2</v>
      </c>
      <c r="AP7" s="460">
        <v>1.21284458088845</v>
      </c>
      <c r="AQ7" s="460">
        <v>-1.39310825055764</v>
      </c>
      <c r="AR7" s="460">
        <v>-0.39696354726368699</v>
      </c>
      <c r="AS7" s="460">
        <v>-0.941375898585877</v>
      </c>
      <c r="AT7" s="460">
        <v>5.4768804708075297E-2</v>
      </c>
      <c r="AU7" s="460">
        <v>0</v>
      </c>
      <c r="AV7" s="460">
        <v>0</v>
      </c>
      <c r="AW7" s="460">
        <v>0</v>
      </c>
      <c r="AX7" s="460">
        <v>0</v>
      </c>
      <c r="AY7" s="460">
        <v>-1.0962511655852201</v>
      </c>
      <c r="AZ7" s="460">
        <v>0</v>
      </c>
    </row>
    <row r="8" spans="1:53" x14ac:dyDescent="0.2">
      <c r="A8" s="588" t="s">
        <v>384</v>
      </c>
      <c r="B8" s="588" t="s">
        <v>231</v>
      </c>
      <c r="C8" s="588" t="s">
        <v>49</v>
      </c>
      <c r="D8" s="588">
        <v>0</v>
      </c>
      <c r="E8" s="588">
        <v>0</v>
      </c>
      <c r="F8" s="589">
        <v>0</v>
      </c>
      <c r="G8" s="589">
        <v>0</v>
      </c>
      <c r="H8" s="588">
        <v>0</v>
      </c>
      <c r="I8" s="588">
        <v>0</v>
      </c>
      <c r="J8" s="588">
        <v>77175.801929318302</v>
      </c>
      <c r="K8" s="588">
        <v>77175.801929318302</v>
      </c>
      <c r="L8" s="460">
        <v>77175.801929318302</v>
      </c>
      <c r="M8" s="460">
        <v>0</v>
      </c>
      <c r="N8" s="460">
        <v>77175.801929318302</v>
      </c>
      <c r="O8" s="588">
        <v>4885.0440917610604</v>
      </c>
      <c r="P8" s="588">
        <v>8536.2807859279492</v>
      </c>
      <c r="Q8" s="588">
        <v>9416.8468261038397</v>
      </c>
      <c r="R8" s="588">
        <v>48217.5137482879</v>
      </c>
      <c r="S8" s="592">
        <v>0</v>
      </c>
      <c r="T8" s="592">
        <v>0</v>
      </c>
      <c r="U8" s="592">
        <v>6120.1164772374996</v>
      </c>
      <c r="V8" s="592">
        <v>0</v>
      </c>
      <c r="W8" s="592">
        <v>0</v>
      </c>
      <c r="X8" s="592">
        <v>0</v>
      </c>
      <c r="Y8" s="592">
        <v>0</v>
      </c>
      <c r="Z8" s="592">
        <v>0</v>
      </c>
      <c r="AA8" s="592">
        <v>0</v>
      </c>
      <c r="AB8" s="592">
        <v>0</v>
      </c>
      <c r="AC8" s="592">
        <v>0</v>
      </c>
      <c r="AD8" s="592">
        <v>0</v>
      </c>
      <c r="AE8" s="592">
        <v>0</v>
      </c>
      <c r="AF8" s="592">
        <v>0</v>
      </c>
      <c r="AG8" s="592">
        <v>0</v>
      </c>
      <c r="AH8" s="592">
        <v>0</v>
      </c>
      <c r="AI8" s="592">
        <v>0</v>
      </c>
      <c r="AJ8" s="460">
        <v>0</v>
      </c>
      <c r="AK8" s="460">
        <v>0</v>
      </c>
      <c r="AL8" s="460">
        <v>0</v>
      </c>
      <c r="AM8" s="460">
        <v>0</v>
      </c>
      <c r="AN8" s="460">
        <v>0</v>
      </c>
      <c r="AO8" s="460">
        <v>0</v>
      </c>
      <c r="AP8" s="460">
        <v>0</v>
      </c>
      <c r="AQ8" s="460">
        <v>0</v>
      </c>
      <c r="AR8" s="460">
        <v>0</v>
      </c>
      <c r="AS8" s="460">
        <v>0</v>
      </c>
      <c r="AT8" s="460">
        <v>0</v>
      </c>
      <c r="AU8" s="460">
        <v>0</v>
      </c>
      <c r="AV8" s="460">
        <v>0</v>
      </c>
      <c r="AW8" s="460">
        <v>0</v>
      </c>
      <c r="AX8" s="460">
        <v>0</v>
      </c>
      <c r="AY8" s="460">
        <v>0</v>
      </c>
      <c r="AZ8" s="460">
        <v>0</v>
      </c>
    </row>
    <row r="9" spans="1:53" x14ac:dyDescent="0.2">
      <c r="A9" s="588" t="s">
        <v>385</v>
      </c>
      <c r="B9" s="588" t="s">
        <v>231</v>
      </c>
      <c r="C9" s="588" t="s">
        <v>88</v>
      </c>
      <c r="D9" s="588">
        <v>0</v>
      </c>
      <c r="E9" s="588">
        <v>0</v>
      </c>
      <c r="F9" s="589">
        <v>0</v>
      </c>
      <c r="G9" s="589">
        <v>0</v>
      </c>
      <c r="H9" s="588">
        <v>0</v>
      </c>
      <c r="I9" s="588">
        <v>0</v>
      </c>
      <c r="J9" s="588">
        <v>431323.35431625199</v>
      </c>
      <c r="K9" s="588">
        <v>431323.35431625199</v>
      </c>
      <c r="L9" s="460">
        <v>431323.35431625199</v>
      </c>
      <c r="M9" s="460">
        <v>0</v>
      </c>
      <c r="N9" s="460">
        <v>431323.35431625199</v>
      </c>
      <c r="O9" s="588">
        <v>27186.314965698399</v>
      </c>
      <c r="P9" s="588">
        <v>41935.594887216597</v>
      </c>
      <c r="Q9" s="588">
        <v>0</v>
      </c>
      <c r="R9" s="588">
        <v>362201.44446333701</v>
      </c>
      <c r="S9" s="592">
        <v>0</v>
      </c>
      <c r="T9" s="592">
        <v>0</v>
      </c>
      <c r="U9" s="592">
        <v>0</v>
      </c>
      <c r="V9" s="592">
        <v>0</v>
      </c>
      <c r="W9" s="592">
        <v>0</v>
      </c>
      <c r="X9" s="592">
        <v>0</v>
      </c>
      <c r="Y9" s="592">
        <v>0</v>
      </c>
      <c r="Z9" s="592">
        <v>0</v>
      </c>
      <c r="AA9" s="592">
        <v>0</v>
      </c>
      <c r="AB9" s="592">
        <v>0</v>
      </c>
      <c r="AC9" s="592">
        <v>0</v>
      </c>
      <c r="AD9" s="592">
        <v>0</v>
      </c>
      <c r="AE9" s="592">
        <v>0</v>
      </c>
      <c r="AF9" s="592">
        <v>0</v>
      </c>
      <c r="AG9" s="592">
        <v>0</v>
      </c>
      <c r="AH9" s="592">
        <v>0</v>
      </c>
      <c r="AI9" s="592">
        <v>0</v>
      </c>
      <c r="AJ9" s="460">
        <v>0</v>
      </c>
      <c r="AK9" s="460">
        <v>0</v>
      </c>
      <c r="AL9" s="460">
        <v>0</v>
      </c>
      <c r="AM9" s="460">
        <v>0</v>
      </c>
      <c r="AN9" s="460">
        <v>0</v>
      </c>
      <c r="AO9" s="460">
        <v>0</v>
      </c>
      <c r="AP9" s="460">
        <v>0</v>
      </c>
      <c r="AQ9" s="460">
        <v>0</v>
      </c>
      <c r="AR9" s="460">
        <v>0</v>
      </c>
      <c r="AS9" s="460">
        <v>0</v>
      </c>
      <c r="AT9" s="460">
        <v>0</v>
      </c>
      <c r="AU9" s="460">
        <v>0</v>
      </c>
      <c r="AV9" s="460">
        <v>0</v>
      </c>
      <c r="AW9" s="460">
        <v>0</v>
      </c>
      <c r="AX9" s="460">
        <v>0</v>
      </c>
      <c r="AY9" s="460">
        <v>0</v>
      </c>
      <c r="AZ9" s="460">
        <v>0</v>
      </c>
    </row>
    <row r="10" spans="1:53" x14ac:dyDescent="0.2">
      <c r="A10" s="588" t="s">
        <v>387</v>
      </c>
      <c r="B10" s="588" t="s">
        <v>231</v>
      </c>
      <c r="C10" s="588" t="s">
        <v>50</v>
      </c>
      <c r="D10" s="588">
        <v>0</v>
      </c>
      <c r="E10" s="588">
        <v>0</v>
      </c>
      <c r="F10" s="589">
        <v>0</v>
      </c>
      <c r="G10" s="589">
        <v>0</v>
      </c>
      <c r="H10" s="588">
        <v>0</v>
      </c>
      <c r="I10" s="588">
        <v>0</v>
      </c>
      <c r="J10" s="588">
        <v>170126.49599357901</v>
      </c>
      <c r="K10" s="588">
        <v>170126.49599357901</v>
      </c>
      <c r="L10" s="460">
        <v>170126.49599357901</v>
      </c>
      <c r="M10" s="460">
        <v>0</v>
      </c>
      <c r="N10" s="460">
        <v>170126.49599357901</v>
      </c>
      <c r="O10" s="588">
        <v>11597.6311922191</v>
      </c>
      <c r="P10" s="588">
        <v>8848.6281626692908</v>
      </c>
      <c r="Q10" s="588">
        <v>271.25355475311397</v>
      </c>
      <c r="R10" s="588">
        <v>139127.39303397899</v>
      </c>
      <c r="S10" s="592">
        <v>0</v>
      </c>
      <c r="T10" s="592">
        <v>0</v>
      </c>
      <c r="U10" s="592">
        <v>10281.590049958</v>
      </c>
      <c r="V10" s="592">
        <v>0</v>
      </c>
      <c r="W10" s="592">
        <v>0</v>
      </c>
      <c r="X10" s="592">
        <v>0</v>
      </c>
      <c r="Y10" s="592">
        <v>0</v>
      </c>
      <c r="Z10" s="592">
        <v>0</v>
      </c>
      <c r="AA10" s="592">
        <v>0</v>
      </c>
      <c r="AB10" s="592">
        <v>0</v>
      </c>
      <c r="AC10" s="592">
        <v>0</v>
      </c>
      <c r="AD10" s="592">
        <v>0</v>
      </c>
      <c r="AE10" s="592">
        <v>0</v>
      </c>
      <c r="AF10" s="592">
        <v>0</v>
      </c>
      <c r="AG10" s="592">
        <v>0</v>
      </c>
      <c r="AH10" s="592">
        <v>0</v>
      </c>
      <c r="AI10" s="592">
        <v>0</v>
      </c>
      <c r="AJ10" s="460">
        <v>0</v>
      </c>
      <c r="AK10" s="460">
        <v>0</v>
      </c>
      <c r="AL10" s="460">
        <v>0</v>
      </c>
      <c r="AM10" s="460">
        <v>0</v>
      </c>
      <c r="AN10" s="460">
        <v>0</v>
      </c>
      <c r="AO10" s="460">
        <v>0</v>
      </c>
      <c r="AP10" s="460">
        <v>0</v>
      </c>
      <c r="AQ10" s="460">
        <v>0</v>
      </c>
      <c r="AR10" s="460">
        <v>0</v>
      </c>
      <c r="AS10" s="460">
        <v>0</v>
      </c>
      <c r="AT10" s="460">
        <v>0</v>
      </c>
      <c r="AU10" s="460">
        <v>0</v>
      </c>
      <c r="AV10" s="460">
        <v>0</v>
      </c>
      <c r="AW10" s="460">
        <v>0</v>
      </c>
      <c r="AX10" s="460">
        <v>0</v>
      </c>
      <c r="AY10" s="460">
        <v>0</v>
      </c>
      <c r="AZ10" s="460">
        <v>0</v>
      </c>
    </row>
    <row r="11" spans="1:53" x14ac:dyDescent="0.2">
      <c r="A11" s="588" t="s">
        <v>388</v>
      </c>
      <c r="B11" s="588" t="s">
        <v>231</v>
      </c>
      <c r="C11" s="588" t="s">
        <v>51</v>
      </c>
      <c r="D11" s="588">
        <v>0</v>
      </c>
      <c r="E11" s="588">
        <v>0</v>
      </c>
      <c r="F11" s="589">
        <v>0</v>
      </c>
      <c r="G11" s="589">
        <v>0</v>
      </c>
      <c r="H11" s="588">
        <v>0</v>
      </c>
      <c r="I11" s="588">
        <v>0</v>
      </c>
      <c r="J11" s="588">
        <v>110679.95698080301</v>
      </c>
      <c r="K11" s="588">
        <v>110679.95698080301</v>
      </c>
      <c r="L11" s="460">
        <v>110679.95698080301</v>
      </c>
      <c r="M11" s="460">
        <v>0</v>
      </c>
      <c r="N11" s="460">
        <v>110679.95698080301</v>
      </c>
      <c r="O11" s="588">
        <v>7048.1338227185197</v>
      </c>
      <c r="P11" s="588">
        <v>14204.065254843499</v>
      </c>
      <c r="Q11" s="588">
        <v>8264.7917334797094</v>
      </c>
      <c r="R11" s="588">
        <v>75042.849692524105</v>
      </c>
      <c r="S11" s="592">
        <v>0</v>
      </c>
      <c r="T11" s="592">
        <v>0</v>
      </c>
      <c r="U11" s="592">
        <v>6120.1164772374404</v>
      </c>
      <c r="V11" s="592">
        <v>0</v>
      </c>
      <c r="W11" s="592">
        <v>0</v>
      </c>
      <c r="X11" s="592">
        <v>0</v>
      </c>
      <c r="Y11" s="592">
        <v>0</v>
      </c>
      <c r="Z11" s="592">
        <v>0</v>
      </c>
      <c r="AA11" s="592">
        <v>0</v>
      </c>
      <c r="AB11" s="592">
        <v>0</v>
      </c>
      <c r="AC11" s="592">
        <v>0</v>
      </c>
      <c r="AD11" s="592">
        <v>0</v>
      </c>
      <c r="AE11" s="592">
        <v>0</v>
      </c>
      <c r="AF11" s="592">
        <v>0</v>
      </c>
      <c r="AG11" s="592">
        <v>0</v>
      </c>
      <c r="AH11" s="592">
        <v>0</v>
      </c>
      <c r="AI11" s="592">
        <v>0</v>
      </c>
      <c r="AJ11" s="460">
        <v>0</v>
      </c>
      <c r="AK11" s="460">
        <v>0</v>
      </c>
      <c r="AL11" s="460">
        <v>0</v>
      </c>
      <c r="AM11" s="460">
        <v>0</v>
      </c>
      <c r="AN11" s="460">
        <v>0</v>
      </c>
      <c r="AO11" s="460">
        <v>0</v>
      </c>
      <c r="AP11" s="460">
        <v>0</v>
      </c>
      <c r="AQ11" s="460">
        <v>0</v>
      </c>
      <c r="AR11" s="460">
        <v>0</v>
      </c>
      <c r="AS11" s="460">
        <v>0</v>
      </c>
      <c r="AT11" s="460">
        <v>0</v>
      </c>
      <c r="AU11" s="460">
        <v>0</v>
      </c>
      <c r="AV11" s="460">
        <v>0</v>
      </c>
      <c r="AW11" s="460">
        <v>0</v>
      </c>
      <c r="AX11" s="460">
        <v>0</v>
      </c>
      <c r="AY11" s="460">
        <v>0</v>
      </c>
      <c r="AZ11" s="460">
        <v>0</v>
      </c>
    </row>
    <row r="12" spans="1:53" x14ac:dyDescent="0.2">
      <c r="A12" s="588" t="s">
        <v>389</v>
      </c>
      <c r="B12" s="588" t="s">
        <v>231</v>
      </c>
      <c r="C12" s="588" t="s">
        <v>52</v>
      </c>
      <c r="D12" s="588">
        <v>3770131.145</v>
      </c>
      <c r="E12" s="588">
        <v>351.68938000000003</v>
      </c>
      <c r="F12" s="589">
        <v>0.60362236912105305</v>
      </c>
      <c r="G12" s="589">
        <v>0.92928136828180596</v>
      </c>
      <c r="H12" s="588">
        <v>0</v>
      </c>
      <c r="I12" s="588">
        <v>1689741.2104446001</v>
      </c>
      <c r="J12" s="588">
        <v>2799334.97644408</v>
      </c>
      <c r="K12" s="588">
        <v>1818331.0976834099</v>
      </c>
      <c r="L12" s="460">
        <v>377989.53364238999</v>
      </c>
      <c r="M12" s="460">
        <v>1553729.57298703</v>
      </c>
      <c r="N12" s="460">
        <v>1931719.1066294201</v>
      </c>
      <c r="O12" s="588">
        <v>124839.51320091401</v>
      </c>
      <c r="P12" s="588">
        <v>20763.360166411701</v>
      </c>
      <c r="Q12" s="588">
        <v>0</v>
      </c>
      <c r="R12" s="588">
        <v>226817.46566466999</v>
      </c>
      <c r="S12" s="592">
        <v>0</v>
      </c>
      <c r="T12" s="592">
        <v>0</v>
      </c>
      <c r="U12" s="592">
        <v>5569.1946103939199</v>
      </c>
      <c r="V12" s="592">
        <v>0</v>
      </c>
      <c r="W12" s="592">
        <v>0</v>
      </c>
      <c r="X12" s="592">
        <v>0</v>
      </c>
      <c r="Y12" s="592">
        <v>0</v>
      </c>
      <c r="Z12" s="592">
        <v>0</v>
      </c>
      <c r="AA12" s="592">
        <v>1553729.57298703</v>
      </c>
      <c r="AB12" s="592">
        <v>0</v>
      </c>
      <c r="AC12" s="592">
        <v>3062260.28835133</v>
      </c>
      <c r="AD12" s="592">
        <v>0</v>
      </c>
      <c r="AE12" s="592">
        <v>905118.43269077304</v>
      </c>
      <c r="AF12" s="592">
        <v>28748289.575786401</v>
      </c>
      <c r="AG12" s="592">
        <v>18686388.251429301</v>
      </c>
      <c r="AH12" s="592">
        <v>0</v>
      </c>
      <c r="AI12" s="592">
        <v>0</v>
      </c>
      <c r="AJ12" s="460">
        <v>9.0426313940863201E-2</v>
      </c>
      <c r="AK12" s="460">
        <v>0</v>
      </c>
      <c r="AL12" s="460">
        <v>0.14980610157396099</v>
      </c>
      <c r="AM12" s="460">
        <v>0.12957803349807201</v>
      </c>
      <c r="AN12" s="460">
        <v>9.7307787530548306E-2</v>
      </c>
      <c r="AO12" s="460">
        <v>7.7079719454660106E-2</v>
      </c>
      <c r="AP12" s="460">
        <v>0.25598014662506502</v>
      </c>
      <c r="AQ12" s="460">
        <v>-5.9379787633097501E-2</v>
      </c>
      <c r="AR12" s="460">
        <v>-3.9151719557209197E-2</v>
      </c>
      <c r="AS12" s="460">
        <v>-6.8814735896851496E-3</v>
      </c>
      <c r="AT12" s="460">
        <v>1.33465944862031E-2</v>
      </c>
      <c r="AU12" s="460">
        <v>0</v>
      </c>
      <c r="AV12" s="460">
        <v>0</v>
      </c>
      <c r="AW12" s="460">
        <v>0</v>
      </c>
      <c r="AX12" s="460">
        <v>0</v>
      </c>
      <c r="AY12" s="460">
        <v>-0.16555383268420201</v>
      </c>
      <c r="AZ12" s="460">
        <v>0</v>
      </c>
    </row>
    <row r="13" spans="1:53" x14ac:dyDescent="0.2">
      <c r="A13" s="588" t="s">
        <v>390</v>
      </c>
      <c r="B13" s="588" t="s">
        <v>231</v>
      </c>
      <c r="C13" s="588" t="s">
        <v>53</v>
      </c>
      <c r="D13" s="588">
        <v>1214174.9694999999</v>
      </c>
      <c r="E13" s="588">
        <v>106.395819731434</v>
      </c>
      <c r="F13" s="589">
        <v>0.56231433176109502</v>
      </c>
      <c r="G13" s="589">
        <v>0.82538615461799802</v>
      </c>
      <c r="H13" s="588">
        <v>0</v>
      </c>
      <c r="I13" s="588">
        <v>474532.39280032698</v>
      </c>
      <c r="J13" s="588">
        <v>843891.69188370695</v>
      </c>
      <c r="K13" s="588">
        <v>574921.67774482199</v>
      </c>
      <c r="L13" s="460">
        <v>209495.281339487</v>
      </c>
      <c r="M13" s="460">
        <v>394193.85860955197</v>
      </c>
      <c r="N13" s="460">
        <v>603689.13994903897</v>
      </c>
      <c r="O13" s="588">
        <v>46036.258515479502</v>
      </c>
      <c r="P13" s="588">
        <v>22327.8289513727</v>
      </c>
      <c r="Q13" s="588">
        <v>0</v>
      </c>
      <c r="R13" s="588">
        <v>133481.690875467</v>
      </c>
      <c r="S13" s="592">
        <v>0</v>
      </c>
      <c r="T13" s="592">
        <v>0</v>
      </c>
      <c r="U13" s="592">
        <v>7649.50299716875</v>
      </c>
      <c r="V13" s="592">
        <v>0</v>
      </c>
      <c r="W13" s="592">
        <v>0</v>
      </c>
      <c r="X13" s="592">
        <v>0</v>
      </c>
      <c r="Y13" s="592">
        <v>0</v>
      </c>
      <c r="Z13" s="592">
        <v>0</v>
      </c>
      <c r="AA13" s="592">
        <v>394193.85860955197</v>
      </c>
      <c r="AB13" s="592">
        <v>0</v>
      </c>
      <c r="AC13" s="592">
        <v>810246.84734803403</v>
      </c>
      <c r="AD13" s="592">
        <v>0</v>
      </c>
      <c r="AE13" s="592">
        <v>249631.79819453901</v>
      </c>
      <c r="AF13" s="592">
        <v>8252470.4238711903</v>
      </c>
      <c r="AG13" s="592">
        <v>5364105.8594251098</v>
      </c>
      <c r="AH13" s="592">
        <v>0</v>
      </c>
      <c r="AI13" s="592">
        <v>0</v>
      </c>
      <c r="AJ13" s="460">
        <v>8.8464397466455694E-2</v>
      </c>
      <c r="AK13" s="460">
        <v>0</v>
      </c>
      <c r="AL13" s="460">
        <v>0.15732196828310699</v>
      </c>
      <c r="AM13" s="460">
        <v>0.118266944607281</v>
      </c>
      <c r="AN13" s="460">
        <v>0.107179405629112</v>
      </c>
      <c r="AO13" s="460">
        <v>6.8124381953285795E-2</v>
      </c>
      <c r="AP13" s="460">
        <v>0.26528828266122401</v>
      </c>
      <c r="AQ13" s="460">
        <v>-6.8857570816651698E-2</v>
      </c>
      <c r="AR13" s="460">
        <v>-2.9802547140825201E-2</v>
      </c>
      <c r="AS13" s="460">
        <v>-1.8715008162656699E-2</v>
      </c>
      <c r="AT13" s="460">
        <v>2.0340015513169801E-2</v>
      </c>
      <c r="AU13" s="460">
        <v>0</v>
      </c>
      <c r="AV13" s="460">
        <v>0</v>
      </c>
      <c r="AW13" s="460">
        <v>0</v>
      </c>
      <c r="AX13" s="460">
        <v>0</v>
      </c>
      <c r="AY13" s="460">
        <v>-0.17682388519476799</v>
      </c>
      <c r="AZ13" s="460">
        <v>0</v>
      </c>
    </row>
    <row r="14" spans="1:53" x14ac:dyDescent="0.2">
      <c r="A14" s="588" t="s">
        <v>391</v>
      </c>
      <c r="B14" s="588" t="s">
        <v>231</v>
      </c>
      <c r="C14" s="588" t="s">
        <v>54</v>
      </c>
      <c r="D14" s="588">
        <v>10197</v>
      </c>
      <c r="E14" s="588">
        <v>2.2390137700037198</v>
      </c>
      <c r="F14" s="589">
        <v>1.98485915053404E-2</v>
      </c>
      <c r="G14" s="589">
        <v>1.9830045406245299E-2</v>
      </c>
      <c r="H14" s="588">
        <v>1524.9717232533501</v>
      </c>
      <c r="I14" s="588">
        <v>5295.9371675349003</v>
      </c>
      <c r="J14" s="588">
        <v>343646.99827456399</v>
      </c>
      <c r="K14" s="588">
        <v>343968.39498108602</v>
      </c>
      <c r="L14" s="460">
        <v>340565.37122058403</v>
      </c>
      <c r="M14" s="460">
        <v>3670.92</v>
      </c>
      <c r="N14" s="460">
        <v>344236.29122058401</v>
      </c>
      <c r="O14" s="588">
        <v>24048.067659892899</v>
      </c>
      <c r="P14" s="588">
        <v>30600.936583136601</v>
      </c>
      <c r="Q14" s="588">
        <v>25245.5687887071</v>
      </c>
      <c r="R14" s="588">
        <v>254550.68171161</v>
      </c>
      <c r="S14" s="592">
        <v>0</v>
      </c>
      <c r="T14" s="592">
        <v>0</v>
      </c>
      <c r="U14" s="592">
        <v>6120.1164772374996</v>
      </c>
      <c r="V14" s="592">
        <v>0</v>
      </c>
      <c r="W14" s="592">
        <v>0</v>
      </c>
      <c r="X14" s="592">
        <v>0</v>
      </c>
      <c r="Y14" s="592">
        <v>0</v>
      </c>
      <c r="Z14" s="592">
        <v>0</v>
      </c>
      <c r="AA14" s="592">
        <v>3670.92</v>
      </c>
      <c r="AB14" s="592">
        <v>0</v>
      </c>
      <c r="AC14" s="592">
        <v>2855.16</v>
      </c>
      <c r="AD14" s="592">
        <v>0</v>
      </c>
      <c r="AE14" s="592">
        <v>-489.45601944923402</v>
      </c>
      <c r="AF14" s="592">
        <v>82910.265092965696</v>
      </c>
      <c r="AG14" s="592">
        <v>53891.674287162503</v>
      </c>
      <c r="AH14" s="592">
        <v>2582.6532148422898</v>
      </c>
      <c r="AI14" s="592">
        <v>1420.45926816326</v>
      </c>
      <c r="AJ14" s="460">
        <v>9.8270043333881799E-2</v>
      </c>
      <c r="AK14" s="460">
        <v>1.07357652375716</v>
      </c>
      <c r="AL14" s="460">
        <v>4.9509832124582402</v>
      </c>
      <c r="AM14" s="460">
        <v>4.4397547157165998E-2</v>
      </c>
      <c r="AN14" s="460">
        <v>4.95561363177376</v>
      </c>
      <c r="AO14" s="460">
        <v>4.90279664726785E-2</v>
      </c>
      <c r="AP14" s="460">
        <v>5.1065194856210301</v>
      </c>
      <c r="AQ14" s="460">
        <v>-4.8527131691243603</v>
      </c>
      <c r="AR14" s="460">
        <v>5.3872496176715801E-2</v>
      </c>
      <c r="AS14" s="460">
        <v>-4.8573435884398704</v>
      </c>
      <c r="AT14" s="460">
        <v>4.9242076861203299E-2</v>
      </c>
      <c r="AU14" s="460">
        <v>-53.014721049816501</v>
      </c>
      <c r="AV14" s="460">
        <v>0.58854402836696895</v>
      </c>
      <c r="AW14" s="460">
        <v>-53.065307264125998</v>
      </c>
      <c r="AX14" s="460">
        <v>0.53795781405752696</v>
      </c>
      <c r="AY14" s="460">
        <v>-5.0082494422871404</v>
      </c>
      <c r="AZ14" s="460">
        <v>-54.713917323628202</v>
      </c>
    </row>
    <row r="15" spans="1:53" x14ac:dyDescent="0.2">
      <c r="A15" s="588" t="s">
        <v>392</v>
      </c>
      <c r="B15" s="588" t="s">
        <v>231</v>
      </c>
      <c r="C15" s="588" t="s">
        <v>55</v>
      </c>
      <c r="D15" s="588">
        <v>49323.815999999999</v>
      </c>
      <c r="E15" s="588">
        <v>11.318420021217699</v>
      </c>
      <c r="F15" s="589">
        <v>2.8543445713274E-2</v>
      </c>
      <c r="G15" s="589">
        <v>2.8819657936487799E-2</v>
      </c>
      <c r="H15" s="588">
        <v>0</v>
      </c>
      <c r="I15" s="588">
        <v>14828.091780846</v>
      </c>
      <c r="J15" s="588">
        <v>519492.00281556498</v>
      </c>
      <c r="K15" s="588">
        <v>514513.10815429903</v>
      </c>
      <c r="L15" s="460">
        <v>501643.62982549402</v>
      </c>
      <c r="M15" s="460">
        <v>13882.6022712839</v>
      </c>
      <c r="N15" s="460">
        <v>515526.232096778</v>
      </c>
      <c r="O15" s="588">
        <v>40924.743390018302</v>
      </c>
      <c r="P15" s="588">
        <v>25469.515393814701</v>
      </c>
      <c r="Q15" s="588">
        <v>58253.324284479197</v>
      </c>
      <c r="R15" s="588">
        <v>372406.17359904601</v>
      </c>
      <c r="S15" s="592">
        <v>0</v>
      </c>
      <c r="T15" s="592">
        <v>0</v>
      </c>
      <c r="U15" s="592">
        <v>4589.8731581354205</v>
      </c>
      <c r="V15" s="592">
        <v>0</v>
      </c>
      <c r="W15" s="592">
        <v>0</v>
      </c>
      <c r="X15" s="592">
        <v>0</v>
      </c>
      <c r="Y15" s="592">
        <v>0</v>
      </c>
      <c r="Z15" s="592">
        <v>0</v>
      </c>
      <c r="AA15" s="592">
        <v>13882.6022712839</v>
      </c>
      <c r="AB15" s="592">
        <v>0</v>
      </c>
      <c r="AC15" s="592">
        <v>21077.552887559599</v>
      </c>
      <c r="AD15" s="592">
        <v>0</v>
      </c>
      <c r="AE15" s="592">
        <v>4316.9705413063903</v>
      </c>
      <c r="AF15" s="592">
        <v>248929.227623229</v>
      </c>
      <c r="AG15" s="592">
        <v>161804.00389003399</v>
      </c>
      <c r="AH15" s="592">
        <v>0</v>
      </c>
      <c r="AI15" s="592">
        <v>0</v>
      </c>
      <c r="AJ15" s="460">
        <v>9.1642304419880499E-2</v>
      </c>
      <c r="AK15" s="460">
        <v>0</v>
      </c>
      <c r="AL15" s="460">
        <v>3.21062514107268</v>
      </c>
      <c r="AM15" s="460">
        <v>0.110308599051734</v>
      </c>
      <c r="AN15" s="460">
        <v>3.1798539948614302</v>
      </c>
      <c r="AO15" s="460">
        <v>7.9537452840485703E-2</v>
      </c>
      <c r="AP15" s="460">
        <v>3.33892023710527</v>
      </c>
      <c r="AQ15" s="460">
        <v>-3.1189828366527901</v>
      </c>
      <c r="AR15" s="460">
        <v>-1.8666294631853101E-2</v>
      </c>
      <c r="AS15" s="460">
        <v>-3.08821169044155</v>
      </c>
      <c r="AT15" s="460">
        <v>1.2104851579394799E-2</v>
      </c>
      <c r="AU15" s="460">
        <v>0</v>
      </c>
      <c r="AV15" s="460">
        <v>0</v>
      </c>
      <c r="AW15" s="460">
        <v>0</v>
      </c>
      <c r="AX15" s="460">
        <v>0</v>
      </c>
      <c r="AY15" s="460">
        <v>-3.2472779326853898</v>
      </c>
      <c r="AZ15" s="460">
        <v>0</v>
      </c>
    </row>
    <row r="16" spans="1:53" x14ac:dyDescent="0.2">
      <c r="A16" s="588" t="s">
        <v>393</v>
      </c>
      <c r="B16" s="588" t="s">
        <v>231</v>
      </c>
      <c r="C16" s="588" t="s">
        <v>56</v>
      </c>
      <c r="D16" s="588">
        <v>44084</v>
      </c>
      <c r="E16" s="588">
        <v>0</v>
      </c>
      <c r="F16" s="589">
        <v>0.10508986205467299</v>
      </c>
      <c r="G16" s="589">
        <v>0.118205635800352</v>
      </c>
      <c r="H16" s="588">
        <v>0</v>
      </c>
      <c r="I16" s="588">
        <v>22535.4050842205</v>
      </c>
      <c r="J16" s="588">
        <v>214439.38210230501</v>
      </c>
      <c r="K16" s="588">
        <v>190645.77531889101</v>
      </c>
      <c r="L16" s="460">
        <v>182794.63702864101</v>
      </c>
      <c r="M16" s="460">
        <v>8469.2034498735102</v>
      </c>
      <c r="N16" s="460">
        <v>191263.84047851499</v>
      </c>
      <c r="O16" s="588">
        <v>13958.495544514801</v>
      </c>
      <c r="P16" s="588">
        <v>17595.265345178101</v>
      </c>
      <c r="Q16" s="588">
        <v>16650.342128077598</v>
      </c>
      <c r="R16" s="588">
        <v>130000.660852735</v>
      </c>
      <c r="S16" s="592">
        <v>0</v>
      </c>
      <c r="T16" s="592">
        <v>0</v>
      </c>
      <c r="U16" s="592">
        <v>4589.8731581354205</v>
      </c>
      <c r="V16" s="592">
        <v>0</v>
      </c>
      <c r="W16" s="592">
        <v>0</v>
      </c>
      <c r="X16" s="592">
        <v>0</v>
      </c>
      <c r="Y16" s="592">
        <v>0</v>
      </c>
      <c r="Z16" s="592">
        <v>0</v>
      </c>
      <c r="AA16" s="592">
        <v>8469.2034498735102</v>
      </c>
      <c r="AB16" s="592">
        <v>0</v>
      </c>
      <c r="AC16" s="592">
        <v>47304.972360355801</v>
      </c>
      <c r="AD16" s="592">
        <v>0</v>
      </c>
      <c r="AE16" s="592">
        <v>23301.4622722063</v>
      </c>
      <c r="AF16" s="592">
        <v>303869.81718000298</v>
      </c>
      <c r="AG16" s="592">
        <v>197515.38841182299</v>
      </c>
      <c r="AH16" s="592">
        <v>0</v>
      </c>
      <c r="AI16" s="592">
        <v>0</v>
      </c>
      <c r="AJ16" s="460">
        <v>0.114094427099694</v>
      </c>
      <c r="AK16" s="460">
        <v>0</v>
      </c>
      <c r="AL16" s="460">
        <v>1.0856844311046601</v>
      </c>
      <c r="AM16" s="460">
        <v>0.16021407409373001</v>
      </c>
      <c r="AN16" s="460">
        <v>0.96521985882635097</v>
      </c>
      <c r="AO16" s="460">
        <v>3.9749501815425199E-2</v>
      </c>
      <c r="AP16" s="460">
        <v>1.1238922179208699</v>
      </c>
      <c r="AQ16" s="460">
        <v>-0.97159000400496098</v>
      </c>
      <c r="AR16" s="460">
        <v>-4.6119646994035299E-2</v>
      </c>
      <c r="AS16" s="460">
        <v>-0.851125431726656</v>
      </c>
      <c r="AT16" s="460">
        <v>7.4344925284269198E-2</v>
      </c>
      <c r="AU16" s="460">
        <v>0</v>
      </c>
      <c r="AV16" s="460">
        <v>0</v>
      </c>
      <c r="AW16" s="460">
        <v>0</v>
      </c>
      <c r="AX16" s="460">
        <v>0</v>
      </c>
      <c r="AY16" s="460">
        <v>-1.0097977908211699</v>
      </c>
      <c r="AZ16" s="460">
        <v>0</v>
      </c>
    </row>
    <row r="17" spans="1:52" x14ac:dyDescent="0.2">
      <c r="A17" s="588" t="s">
        <v>394</v>
      </c>
      <c r="B17" s="588" t="s">
        <v>231</v>
      </c>
      <c r="C17" s="588" t="s">
        <v>57</v>
      </c>
      <c r="D17" s="588">
        <v>123986.25</v>
      </c>
      <c r="E17" s="588">
        <v>4.7178938356164402</v>
      </c>
      <c r="F17" s="589">
        <v>0.119268877001996</v>
      </c>
      <c r="G17" s="589">
        <v>0.13403521724027301</v>
      </c>
      <c r="H17" s="588">
        <v>0</v>
      </c>
      <c r="I17" s="588">
        <v>49608.979179237002</v>
      </c>
      <c r="J17" s="588">
        <v>415942.36842195399</v>
      </c>
      <c r="K17" s="588">
        <v>370118.989625744</v>
      </c>
      <c r="L17" s="460">
        <v>349702.26512747799</v>
      </c>
      <c r="M17" s="460">
        <v>22023.9903009435</v>
      </c>
      <c r="N17" s="460">
        <v>371726.25542842102</v>
      </c>
      <c r="O17" s="588">
        <v>24654.791093805299</v>
      </c>
      <c r="P17" s="588">
        <v>19836.335007453399</v>
      </c>
      <c r="Q17" s="588">
        <v>19812.2127493441</v>
      </c>
      <c r="R17" s="588">
        <v>280299.25761209597</v>
      </c>
      <c r="S17" s="592">
        <v>0</v>
      </c>
      <c r="T17" s="592">
        <v>0</v>
      </c>
      <c r="U17" s="592">
        <v>5099.6686647791703</v>
      </c>
      <c r="V17" s="592">
        <v>0</v>
      </c>
      <c r="W17" s="592">
        <v>0</v>
      </c>
      <c r="X17" s="592">
        <v>0</v>
      </c>
      <c r="Y17" s="592">
        <v>0</v>
      </c>
      <c r="Z17" s="592">
        <v>0</v>
      </c>
      <c r="AA17" s="592">
        <v>22023.9903009435</v>
      </c>
      <c r="AB17" s="592">
        <v>0</v>
      </c>
      <c r="AC17" s="592">
        <v>96377.115466205607</v>
      </c>
      <c r="AD17" s="592">
        <v>0</v>
      </c>
      <c r="AE17" s="592">
        <v>44611.876871873901</v>
      </c>
      <c r="AF17" s="592">
        <v>719339.60187681497</v>
      </c>
      <c r="AG17" s="592">
        <v>467570.758370322</v>
      </c>
      <c r="AH17" s="592">
        <v>0</v>
      </c>
      <c r="AI17" s="592">
        <v>0</v>
      </c>
      <c r="AJ17" s="460">
        <v>0.106099404830501</v>
      </c>
      <c r="AK17" s="460">
        <v>0</v>
      </c>
      <c r="AL17" s="460">
        <v>0.88958165363395603</v>
      </c>
      <c r="AM17" s="460">
        <v>0.14166861829715499</v>
      </c>
      <c r="AN17" s="460">
        <v>0.79157856431347895</v>
      </c>
      <c r="AO17" s="460">
        <v>4.3665528976677803E-2</v>
      </c>
      <c r="AP17" s="460">
        <v>0.94856020099779004</v>
      </c>
      <c r="AQ17" s="460">
        <v>-0.78348224880345596</v>
      </c>
      <c r="AR17" s="460">
        <v>-3.5569213466654703E-2</v>
      </c>
      <c r="AS17" s="460">
        <v>-0.685479159482978</v>
      </c>
      <c r="AT17" s="460">
        <v>6.2433875853822797E-2</v>
      </c>
      <c r="AU17" s="460">
        <v>0</v>
      </c>
      <c r="AV17" s="460">
        <v>0</v>
      </c>
      <c r="AW17" s="460">
        <v>0</v>
      </c>
      <c r="AX17" s="460">
        <v>0</v>
      </c>
      <c r="AY17" s="460">
        <v>-0.84246079616728897</v>
      </c>
      <c r="AZ17" s="460">
        <v>0</v>
      </c>
    </row>
    <row r="18" spans="1:52" x14ac:dyDescent="0.2">
      <c r="A18" s="588" t="s">
        <v>395</v>
      </c>
      <c r="B18" s="588" t="s">
        <v>231</v>
      </c>
      <c r="C18" s="588" t="s">
        <v>58</v>
      </c>
      <c r="D18" s="588">
        <v>99307.964999999997</v>
      </c>
      <c r="E18" s="588">
        <v>26.768403742024802</v>
      </c>
      <c r="F18" s="589">
        <v>8.3069575103030299E-2</v>
      </c>
      <c r="G18" s="589">
        <v>9.0446421551161296E-2</v>
      </c>
      <c r="H18" s="588">
        <v>7.0476018302087597</v>
      </c>
      <c r="I18" s="588">
        <v>15853.571622588801</v>
      </c>
      <c r="J18" s="588">
        <v>190931.74853425301</v>
      </c>
      <c r="K18" s="588">
        <v>175359.27848121</v>
      </c>
      <c r="L18" s="460">
        <v>161760.89471219701</v>
      </c>
      <c r="M18" s="460">
        <v>14668.889334461001</v>
      </c>
      <c r="N18" s="460">
        <v>176429.78404665799</v>
      </c>
      <c r="O18" s="588">
        <v>11738.8291984427</v>
      </c>
      <c r="P18" s="588">
        <v>15054.597178681601</v>
      </c>
      <c r="Q18" s="588">
        <v>7805.7610357384301</v>
      </c>
      <c r="R18" s="588">
        <v>124609.30256943199</v>
      </c>
      <c r="S18" s="592">
        <v>0</v>
      </c>
      <c r="T18" s="592">
        <v>0</v>
      </c>
      <c r="U18" s="592">
        <v>2552.4047299020699</v>
      </c>
      <c r="V18" s="592">
        <v>0</v>
      </c>
      <c r="W18" s="592">
        <v>0</v>
      </c>
      <c r="X18" s="592">
        <v>0</v>
      </c>
      <c r="Y18" s="592">
        <v>0</v>
      </c>
      <c r="Z18" s="592">
        <v>0</v>
      </c>
      <c r="AA18" s="592">
        <v>14668.889334461001</v>
      </c>
      <c r="AB18" s="592">
        <v>0</v>
      </c>
      <c r="AC18" s="592">
        <v>39384.176345302803</v>
      </c>
      <c r="AD18" s="592">
        <v>0</v>
      </c>
      <c r="AE18" s="592">
        <v>14829.172795763399</v>
      </c>
      <c r="AF18" s="592">
        <v>312580.82036784198</v>
      </c>
      <c r="AG18" s="592">
        <v>203177.54069160501</v>
      </c>
      <c r="AH18" s="592">
        <v>12.1773064217741</v>
      </c>
      <c r="AI18" s="592">
        <v>6.6975185319757697</v>
      </c>
      <c r="AJ18" s="460">
        <v>7.8028169691512994E-2</v>
      </c>
      <c r="AK18" s="460">
        <v>1.0522705979179601</v>
      </c>
      <c r="AL18" s="460">
        <v>0.93931104853654901</v>
      </c>
      <c r="AM18" s="460">
        <v>0.14350942418246401</v>
      </c>
      <c r="AN18" s="460">
        <v>0.86270046236573505</v>
      </c>
      <c r="AO18" s="460">
        <v>6.68988380116496E-2</v>
      </c>
      <c r="AP18" s="460">
        <v>1.0125541164246501</v>
      </c>
      <c r="AQ18" s="460">
        <v>-0.86128287884503596</v>
      </c>
      <c r="AR18" s="460">
        <v>-6.5481254490951296E-2</v>
      </c>
      <c r="AS18" s="460">
        <v>-0.78467229267422201</v>
      </c>
      <c r="AT18" s="460">
        <v>1.11293316798635E-2</v>
      </c>
      <c r="AU18" s="460">
        <v>-11.6150699610436</v>
      </c>
      <c r="AV18" s="460">
        <v>-0.88306568112615103</v>
      </c>
      <c r="AW18" s="460">
        <v>-10.581916580212701</v>
      </c>
      <c r="AX18" s="460">
        <v>0.150087699704779</v>
      </c>
      <c r="AY18" s="460">
        <v>-0.93452594673313905</v>
      </c>
      <c r="AZ18" s="460">
        <v>-12.6028097368795</v>
      </c>
    </row>
    <row r="19" spans="1:52" x14ac:dyDescent="0.2">
      <c r="A19" s="588" t="s">
        <v>182</v>
      </c>
      <c r="B19" s="588" t="s">
        <v>231</v>
      </c>
      <c r="C19" s="588" t="s">
        <v>41</v>
      </c>
      <c r="D19" s="588">
        <v>1133000</v>
      </c>
      <c r="E19" s="588">
        <v>85.869473684210504</v>
      </c>
      <c r="F19" s="589">
        <v>0.68864651435111202</v>
      </c>
      <c r="G19" s="589">
        <v>0.58376769331181799</v>
      </c>
      <c r="H19" s="588">
        <v>0</v>
      </c>
      <c r="I19" s="588">
        <v>573374.06925487402</v>
      </c>
      <c r="J19" s="588">
        <v>832610.13786607899</v>
      </c>
      <c r="K19" s="588">
        <v>982195.61620825797</v>
      </c>
      <c r="L19" s="460">
        <v>730119.78209699795</v>
      </c>
      <c r="M19" s="460">
        <v>271920</v>
      </c>
      <c r="N19" s="460">
        <v>1002039.782097</v>
      </c>
      <c r="O19" s="588">
        <v>61093.098809375399</v>
      </c>
      <c r="P19" s="588">
        <v>12024.0080539143</v>
      </c>
      <c r="Q19" s="588">
        <v>6735.4357990537001</v>
      </c>
      <c r="R19" s="588">
        <v>641699.24772635696</v>
      </c>
      <c r="S19" s="592">
        <v>0</v>
      </c>
      <c r="T19" s="592">
        <v>0</v>
      </c>
      <c r="U19" s="592">
        <v>8567.9917082983393</v>
      </c>
      <c r="V19" s="592">
        <v>0</v>
      </c>
      <c r="W19" s="592">
        <v>0</v>
      </c>
      <c r="X19" s="592">
        <v>0</v>
      </c>
      <c r="Y19" s="592">
        <v>0</v>
      </c>
      <c r="Z19" s="592">
        <v>0</v>
      </c>
      <c r="AA19" s="592">
        <v>271920</v>
      </c>
      <c r="AB19" s="592">
        <v>0</v>
      </c>
      <c r="AC19" s="592">
        <v>66087.89</v>
      </c>
      <c r="AD19" s="592">
        <v>0</v>
      </c>
      <c r="AE19" s="592">
        <v>-164665.69045371001</v>
      </c>
      <c r="AF19" s="592">
        <v>7389584.0643272502</v>
      </c>
      <c r="AG19" s="592">
        <v>6281146.5427688695</v>
      </c>
      <c r="AH19" s="592">
        <v>0</v>
      </c>
      <c r="AI19" s="592">
        <v>0</v>
      </c>
      <c r="AJ19" s="460">
        <v>9.1284937447442205E-2</v>
      </c>
      <c r="AK19" s="460">
        <v>0</v>
      </c>
      <c r="AL19" s="460">
        <v>0.132557031140217</v>
      </c>
      <c r="AM19" s="460">
        <v>1.6317141316671301E-2</v>
      </c>
      <c r="AN19" s="460">
        <v>0.15637202690948299</v>
      </c>
      <c r="AO19" s="460">
        <v>4.0132137085936999E-2</v>
      </c>
      <c r="AP19" s="460">
        <v>0.31389872625670301</v>
      </c>
      <c r="AQ19" s="460">
        <v>-4.1272093692774799E-2</v>
      </c>
      <c r="AR19" s="460">
        <v>7.4967796130770994E-2</v>
      </c>
      <c r="AS19" s="460">
        <v>-6.5087089462040504E-2</v>
      </c>
      <c r="AT19" s="460">
        <v>5.1152800361505199E-2</v>
      </c>
      <c r="AU19" s="460">
        <v>0</v>
      </c>
      <c r="AV19" s="460">
        <v>0</v>
      </c>
      <c r="AW19" s="460">
        <v>0</v>
      </c>
      <c r="AX19" s="460">
        <v>0</v>
      </c>
      <c r="AY19" s="460">
        <v>-0.222613788809261</v>
      </c>
      <c r="AZ19" s="460">
        <v>0</v>
      </c>
    </row>
    <row r="20" spans="1:52" x14ac:dyDescent="0.2">
      <c r="A20" s="588" t="s">
        <v>396</v>
      </c>
      <c r="B20" s="588" t="s">
        <v>231</v>
      </c>
      <c r="C20" s="588" t="s">
        <v>202</v>
      </c>
      <c r="D20" s="588">
        <v>0</v>
      </c>
      <c r="E20" s="588">
        <v>0</v>
      </c>
      <c r="F20" s="589">
        <v>0</v>
      </c>
      <c r="G20" s="589">
        <v>0</v>
      </c>
      <c r="H20" s="588">
        <v>0</v>
      </c>
      <c r="I20" s="588">
        <v>0</v>
      </c>
      <c r="J20" s="588">
        <v>75943.298479548495</v>
      </c>
      <c r="K20" s="588">
        <v>75943.298479548495</v>
      </c>
      <c r="L20" s="460">
        <v>75943.298479548495</v>
      </c>
      <c r="M20" s="460">
        <v>0</v>
      </c>
      <c r="N20" s="460">
        <v>75943.298479548495</v>
      </c>
      <c r="O20" s="588">
        <v>5536.4490462880603</v>
      </c>
      <c r="P20" s="588">
        <v>19696.0974097328</v>
      </c>
      <c r="Q20" s="588">
        <v>5702.1912860499297</v>
      </c>
      <c r="R20" s="588">
        <v>40418.6875793422</v>
      </c>
      <c r="S20" s="592">
        <v>0</v>
      </c>
      <c r="T20" s="592">
        <v>0</v>
      </c>
      <c r="U20" s="592">
        <v>4589.8731581354205</v>
      </c>
      <c r="V20" s="592">
        <v>0</v>
      </c>
      <c r="W20" s="592">
        <v>0</v>
      </c>
      <c r="X20" s="592">
        <v>0</v>
      </c>
      <c r="Y20" s="592">
        <v>0</v>
      </c>
      <c r="Z20" s="592">
        <v>0</v>
      </c>
      <c r="AA20" s="592">
        <v>0</v>
      </c>
      <c r="AB20" s="592">
        <v>0</v>
      </c>
      <c r="AC20" s="592">
        <v>0</v>
      </c>
      <c r="AD20" s="592">
        <v>0</v>
      </c>
      <c r="AE20" s="592">
        <v>0</v>
      </c>
      <c r="AF20" s="592">
        <v>0</v>
      </c>
      <c r="AG20" s="592">
        <v>0</v>
      </c>
      <c r="AH20" s="592">
        <v>0</v>
      </c>
      <c r="AI20" s="592">
        <v>0</v>
      </c>
      <c r="AJ20" s="460">
        <v>0</v>
      </c>
      <c r="AK20" s="460">
        <v>0</v>
      </c>
      <c r="AL20" s="460">
        <v>0</v>
      </c>
      <c r="AM20" s="460">
        <v>0</v>
      </c>
      <c r="AN20" s="460">
        <v>0</v>
      </c>
      <c r="AO20" s="460">
        <v>0</v>
      </c>
      <c r="AP20" s="460">
        <v>0</v>
      </c>
      <c r="AQ20" s="460">
        <v>0</v>
      </c>
      <c r="AR20" s="460">
        <v>0</v>
      </c>
      <c r="AS20" s="460">
        <v>0</v>
      </c>
      <c r="AT20" s="460">
        <v>0</v>
      </c>
      <c r="AU20" s="460">
        <v>0</v>
      </c>
      <c r="AV20" s="460">
        <v>0</v>
      </c>
      <c r="AW20" s="460">
        <v>0</v>
      </c>
      <c r="AX20" s="460">
        <v>0</v>
      </c>
      <c r="AY20" s="460">
        <v>0</v>
      </c>
      <c r="AZ20" s="460">
        <v>0</v>
      </c>
    </row>
    <row r="21" spans="1:52" x14ac:dyDescent="0.2">
      <c r="A21" s="588" t="s">
        <v>397</v>
      </c>
      <c r="B21" s="588" t="s">
        <v>231</v>
      </c>
      <c r="C21" s="588" t="s">
        <v>60</v>
      </c>
      <c r="D21" s="588">
        <v>102723.96</v>
      </c>
      <c r="E21" s="588">
        <v>1.41054049533197</v>
      </c>
      <c r="F21" s="589">
        <v>0.169954819743977</v>
      </c>
      <c r="G21" s="589">
        <v>0.30080108998480398</v>
      </c>
      <c r="H21" s="588">
        <v>0</v>
      </c>
      <c r="I21" s="588">
        <v>37144.104535260398</v>
      </c>
      <c r="J21" s="588">
        <v>218552.81651450001</v>
      </c>
      <c r="K21" s="588">
        <v>123483.942618482</v>
      </c>
      <c r="L21" s="460">
        <v>103798.66398435801</v>
      </c>
      <c r="M21" s="460">
        <v>21234.962824037699</v>
      </c>
      <c r="N21" s="460">
        <v>125033.626808396</v>
      </c>
      <c r="O21" s="588">
        <v>9883.3128880261302</v>
      </c>
      <c r="P21" s="588">
        <v>9243.8432107909794</v>
      </c>
      <c r="Q21" s="588">
        <v>0</v>
      </c>
      <c r="R21" s="588">
        <v>81939.606631243907</v>
      </c>
      <c r="S21" s="592">
        <v>0</v>
      </c>
      <c r="T21" s="592">
        <v>0</v>
      </c>
      <c r="U21" s="592">
        <v>2731.9012542974001</v>
      </c>
      <c r="V21" s="592">
        <v>0</v>
      </c>
      <c r="W21" s="592">
        <v>0</v>
      </c>
      <c r="X21" s="592">
        <v>0</v>
      </c>
      <c r="Y21" s="592">
        <v>0</v>
      </c>
      <c r="Z21" s="592">
        <v>0</v>
      </c>
      <c r="AA21" s="592">
        <v>21234.962824037699</v>
      </c>
      <c r="AB21" s="592">
        <v>0</v>
      </c>
      <c r="AC21" s="592">
        <v>176235.90620669501</v>
      </c>
      <c r="AD21" s="592">
        <v>0</v>
      </c>
      <c r="AE21" s="592">
        <v>93152.785807830995</v>
      </c>
      <c r="AF21" s="592">
        <v>399224.184694528</v>
      </c>
      <c r="AG21" s="592">
        <v>276327.86683787301</v>
      </c>
      <c r="AH21" s="592">
        <v>0</v>
      </c>
      <c r="AI21" s="592">
        <v>0</v>
      </c>
      <c r="AJ21" s="460">
        <v>0.134420407758055</v>
      </c>
      <c r="AK21" s="460">
        <v>0</v>
      </c>
      <c r="AL21" s="460">
        <v>0.79091848033817502</v>
      </c>
      <c r="AM21" s="460">
        <v>0.41528259108760202</v>
      </c>
      <c r="AN21" s="460">
        <v>0.44687473627454399</v>
      </c>
      <c r="AO21" s="460">
        <v>7.1238847023971194E-2</v>
      </c>
      <c r="AP21" s="460">
        <v>0.59815641572102896</v>
      </c>
      <c r="AQ21" s="460">
        <v>-0.65649807258012005</v>
      </c>
      <c r="AR21" s="460">
        <v>-0.28086218332954699</v>
      </c>
      <c r="AS21" s="460">
        <v>-0.31245432851648902</v>
      </c>
      <c r="AT21" s="460">
        <v>6.3181560734083597E-2</v>
      </c>
      <c r="AU21" s="460">
        <v>0</v>
      </c>
      <c r="AV21" s="460">
        <v>0</v>
      </c>
      <c r="AW21" s="460">
        <v>0</v>
      </c>
      <c r="AX21" s="460">
        <v>0</v>
      </c>
      <c r="AY21" s="460">
        <v>-0.46373600796297398</v>
      </c>
      <c r="AZ21" s="460">
        <v>0</v>
      </c>
    </row>
    <row r="22" spans="1:52" x14ac:dyDescent="0.2">
      <c r="A22" s="588" t="s">
        <v>398</v>
      </c>
      <c r="B22" s="588" t="s">
        <v>231</v>
      </c>
      <c r="C22" s="588" t="s">
        <v>89</v>
      </c>
      <c r="D22" s="588">
        <v>0</v>
      </c>
      <c r="E22" s="588">
        <v>0</v>
      </c>
      <c r="F22" s="589">
        <v>0</v>
      </c>
      <c r="G22" s="589">
        <v>0</v>
      </c>
      <c r="H22" s="588">
        <v>0</v>
      </c>
      <c r="I22" s="588">
        <v>0</v>
      </c>
      <c r="J22" s="588">
        <v>990436.83021403896</v>
      </c>
      <c r="K22" s="588">
        <v>990436.83021403896</v>
      </c>
      <c r="L22" s="460">
        <v>990436.83021403896</v>
      </c>
      <c r="M22" s="460">
        <v>0</v>
      </c>
      <c r="N22" s="460">
        <v>990436.83021403896</v>
      </c>
      <c r="O22" s="588">
        <v>62427.242462934599</v>
      </c>
      <c r="P22" s="588">
        <v>7344.2612053028497</v>
      </c>
      <c r="Q22" s="588">
        <v>0</v>
      </c>
      <c r="R22" s="588">
        <v>920665.32654580195</v>
      </c>
      <c r="S22" s="592">
        <v>0</v>
      </c>
      <c r="T22" s="592">
        <v>0</v>
      </c>
      <c r="U22" s="592">
        <v>0</v>
      </c>
      <c r="V22" s="592">
        <v>0</v>
      </c>
      <c r="W22" s="592">
        <v>0</v>
      </c>
      <c r="X22" s="592">
        <v>0</v>
      </c>
      <c r="Y22" s="592">
        <v>0</v>
      </c>
      <c r="Z22" s="592">
        <v>0</v>
      </c>
      <c r="AA22" s="592">
        <v>0</v>
      </c>
      <c r="AB22" s="592">
        <v>0</v>
      </c>
      <c r="AC22" s="592">
        <v>0</v>
      </c>
      <c r="AD22" s="592">
        <v>0</v>
      </c>
      <c r="AE22" s="592">
        <v>0</v>
      </c>
      <c r="AF22" s="592">
        <v>0</v>
      </c>
      <c r="AG22" s="592">
        <v>0</v>
      </c>
      <c r="AH22" s="592">
        <v>0</v>
      </c>
      <c r="AI22" s="592">
        <v>0</v>
      </c>
      <c r="AJ22" s="460">
        <v>0</v>
      </c>
      <c r="AK22" s="460">
        <v>0</v>
      </c>
      <c r="AL22" s="460">
        <v>0</v>
      </c>
      <c r="AM22" s="460">
        <v>0</v>
      </c>
      <c r="AN22" s="460">
        <v>0</v>
      </c>
      <c r="AO22" s="460">
        <v>0</v>
      </c>
      <c r="AP22" s="460">
        <v>0</v>
      </c>
      <c r="AQ22" s="460">
        <v>0</v>
      </c>
      <c r="AR22" s="460">
        <v>0</v>
      </c>
      <c r="AS22" s="460">
        <v>0</v>
      </c>
      <c r="AT22" s="460">
        <v>0</v>
      </c>
      <c r="AU22" s="460">
        <v>0</v>
      </c>
      <c r="AV22" s="460">
        <v>0</v>
      </c>
      <c r="AW22" s="460">
        <v>0</v>
      </c>
      <c r="AX22" s="460">
        <v>0</v>
      </c>
      <c r="AY22" s="460">
        <v>0</v>
      </c>
      <c r="AZ22" s="460">
        <v>0</v>
      </c>
    </row>
    <row r="23" spans="1:52" x14ac:dyDescent="0.2">
      <c r="A23" s="588" t="s">
        <v>183</v>
      </c>
      <c r="B23" s="588" t="s">
        <v>231</v>
      </c>
      <c r="C23" s="588" t="s">
        <v>201</v>
      </c>
      <c r="D23" s="588">
        <v>809337.00623366004</v>
      </c>
      <c r="E23" s="588">
        <v>176.28197751675199</v>
      </c>
      <c r="F23" s="589">
        <v>2.1662419524751799</v>
      </c>
      <c r="G23" s="589">
        <v>2.51681557247041</v>
      </c>
      <c r="H23" s="588">
        <v>-26.812733252743602</v>
      </c>
      <c r="I23" s="588">
        <v>452581.07632419601</v>
      </c>
      <c r="J23" s="588">
        <v>208912.14994421499</v>
      </c>
      <c r="K23" s="588">
        <v>179812.247087589</v>
      </c>
      <c r="L23" s="460">
        <v>45651.004859510598</v>
      </c>
      <c r="M23" s="460">
        <v>144722.81770000001</v>
      </c>
      <c r="N23" s="460">
        <v>190373.822559511</v>
      </c>
      <c r="O23" s="588">
        <v>9067.0325789045492</v>
      </c>
      <c r="P23" s="588">
        <v>9399.5615822859309</v>
      </c>
      <c r="Q23" s="588">
        <v>735.63587867789704</v>
      </c>
      <c r="R23" s="588">
        <v>23716.873565344798</v>
      </c>
      <c r="S23" s="592">
        <v>0</v>
      </c>
      <c r="T23" s="592">
        <v>0</v>
      </c>
      <c r="U23" s="592">
        <v>2731.9012542974001</v>
      </c>
      <c r="V23" s="592">
        <v>0</v>
      </c>
      <c r="W23" s="592">
        <v>0</v>
      </c>
      <c r="X23" s="592">
        <v>0</v>
      </c>
      <c r="Y23" s="592">
        <v>0</v>
      </c>
      <c r="Z23" s="592">
        <v>0</v>
      </c>
      <c r="AA23" s="592">
        <v>144722.81770000001</v>
      </c>
      <c r="AB23" s="592">
        <v>0</v>
      </c>
      <c r="AC23" s="592">
        <v>148759.37789278501</v>
      </c>
      <c r="AD23" s="592">
        <v>0</v>
      </c>
      <c r="AE23" s="592">
        <v>2421.9362119101802</v>
      </c>
      <c r="AF23" s="592">
        <v>5284051.9395475704</v>
      </c>
      <c r="AG23" s="592">
        <v>3390602.5136661599</v>
      </c>
      <c r="AH23" s="592">
        <v>-55.781348558542902</v>
      </c>
      <c r="AI23" s="592">
        <v>-30.679741707198598</v>
      </c>
      <c r="AJ23" s="460">
        <v>0.13348101834409201</v>
      </c>
      <c r="AK23" s="460">
        <v>0.87395563850044999</v>
      </c>
      <c r="AL23" s="460">
        <v>6.1618702468380498E-2</v>
      </c>
      <c r="AM23" s="460">
        <v>4.8153924634387099E-2</v>
      </c>
      <c r="AN23" s="460">
        <v>5.3035677228058201E-2</v>
      </c>
      <c r="AO23" s="460">
        <v>3.9570899394064801E-2</v>
      </c>
      <c r="AP23" s="460">
        <v>0.21179123160282701</v>
      </c>
      <c r="AQ23" s="460">
        <v>7.1862315875711E-2</v>
      </c>
      <c r="AR23" s="460">
        <v>8.5327093709704399E-2</v>
      </c>
      <c r="AS23" s="460">
        <v>8.0445341116033298E-2</v>
      </c>
      <c r="AT23" s="460">
        <v>9.3910118950026697E-2</v>
      </c>
      <c r="AU23" s="460">
        <v>0.47051241393287402</v>
      </c>
      <c r="AV23" s="460">
        <v>0.55867190398737299</v>
      </c>
      <c r="AW23" s="460">
        <v>0.52670904321563805</v>
      </c>
      <c r="AX23" s="460">
        <v>0.61486853327013702</v>
      </c>
      <c r="AY23" s="460">
        <v>-7.8310213258735495E-2</v>
      </c>
      <c r="AZ23" s="460">
        <v>-0.51272947478685105</v>
      </c>
    </row>
    <row r="24" spans="1:52" x14ac:dyDescent="0.2">
      <c r="A24" s="588" t="s">
        <v>184</v>
      </c>
      <c r="B24" s="588" t="s">
        <v>231</v>
      </c>
      <c r="C24" s="588" t="s">
        <v>67</v>
      </c>
      <c r="D24" s="588">
        <v>230651.70069999999</v>
      </c>
      <c r="E24" s="588">
        <v>31.047778362772299</v>
      </c>
      <c r="F24" s="589">
        <v>1.11404985850083</v>
      </c>
      <c r="G24" s="589">
        <v>1.22764009490856</v>
      </c>
      <c r="H24" s="588">
        <v>-96.813761677691801</v>
      </c>
      <c r="I24" s="588">
        <v>116490.972052792</v>
      </c>
      <c r="J24" s="588">
        <v>104478.410371818</v>
      </c>
      <c r="K24" s="588">
        <v>94811.304040850693</v>
      </c>
      <c r="L24" s="460">
        <v>57592.521971681897</v>
      </c>
      <c r="M24" s="460">
        <v>40148.756249999999</v>
      </c>
      <c r="N24" s="460">
        <v>97741.278221681903</v>
      </c>
      <c r="O24" s="588">
        <v>7103.61848467453</v>
      </c>
      <c r="P24" s="588">
        <v>28042.966375362801</v>
      </c>
      <c r="Q24" s="588">
        <v>746.764574130455</v>
      </c>
      <c r="R24" s="588">
        <v>17415.176683364902</v>
      </c>
      <c r="S24" s="592">
        <v>0</v>
      </c>
      <c r="T24" s="592">
        <v>0</v>
      </c>
      <c r="U24" s="592">
        <v>4283.9958541491696</v>
      </c>
      <c r="V24" s="592">
        <v>0</v>
      </c>
      <c r="W24" s="592">
        <v>0</v>
      </c>
      <c r="X24" s="592">
        <v>0</v>
      </c>
      <c r="Y24" s="592">
        <v>0</v>
      </c>
      <c r="Z24" s="592">
        <v>0</v>
      </c>
      <c r="AA24" s="592">
        <v>40148.756249999999</v>
      </c>
      <c r="AB24" s="592">
        <v>0</v>
      </c>
      <c r="AC24" s="592">
        <v>22582.787155714901</v>
      </c>
      <c r="AD24" s="592">
        <v>0</v>
      </c>
      <c r="AE24" s="592">
        <v>-10539.5818753764</v>
      </c>
      <c r="AF24" s="592">
        <v>1601933.4241816499</v>
      </c>
      <c r="AG24" s="592">
        <v>1011705.67849877</v>
      </c>
      <c r="AH24" s="592">
        <v>-201.41184915769199</v>
      </c>
      <c r="AI24" s="592">
        <v>-110.77651703673099</v>
      </c>
      <c r="AJ24" s="460">
        <v>0.115143143434411</v>
      </c>
      <c r="AK24" s="460">
        <v>0.87395563850044999</v>
      </c>
      <c r="AL24" s="460">
        <v>0.103355467042883</v>
      </c>
      <c r="AM24" s="460">
        <v>4.6381954664804902E-2</v>
      </c>
      <c r="AN24" s="460">
        <v>9.3792263638136503E-2</v>
      </c>
      <c r="AO24" s="460">
        <v>3.6818751260058201E-2</v>
      </c>
      <c r="AP24" s="460">
        <v>0.25193676680864702</v>
      </c>
      <c r="AQ24" s="460">
        <v>1.1787676391527601E-2</v>
      </c>
      <c r="AR24" s="460">
        <v>6.8761188769606005E-2</v>
      </c>
      <c r="AS24" s="460">
        <v>2.13508797962744E-2</v>
      </c>
      <c r="AT24" s="460">
        <v>7.8324392174352706E-2</v>
      </c>
      <c r="AU24" s="460">
        <v>8.9470427330020794E-2</v>
      </c>
      <c r="AV24" s="460">
        <v>0.521908876575221</v>
      </c>
      <c r="AW24" s="460">
        <v>0.16205673415136901</v>
      </c>
      <c r="AX24" s="460">
        <v>0.59449518339656904</v>
      </c>
      <c r="AY24" s="460">
        <v>-0.13679362337423601</v>
      </c>
      <c r="AZ24" s="460">
        <v>-1.0382863876467801</v>
      </c>
    </row>
    <row r="25" spans="1:52" x14ac:dyDescent="0.2">
      <c r="A25" s="588" t="s">
        <v>404</v>
      </c>
      <c r="B25" s="588" t="s">
        <v>231</v>
      </c>
      <c r="C25" s="588" t="s">
        <v>61</v>
      </c>
      <c r="D25" s="588">
        <v>3208862</v>
      </c>
      <c r="E25" s="588">
        <v>893.71766543208901</v>
      </c>
      <c r="F25" s="589">
        <v>0.72264994618637701</v>
      </c>
      <c r="G25" s="589">
        <v>0.84931945753154203</v>
      </c>
      <c r="H25" s="588">
        <v>28026.775488977499</v>
      </c>
      <c r="I25" s="588">
        <v>1609889.2286930401</v>
      </c>
      <c r="J25" s="588">
        <v>2266541.3770882501</v>
      </c>
      <c r="K25" s="588">
        <v>1928504.0389189399</v>
      </c>
      <c r="L25" s="460">
        <v>1087375.5946789801</v>
      </c>
      <c r="M25" s="460">
        <v>907344.59875585895</v>
      </c>
      <c r="N25" s="460">
        <v>1994720.1934348401</v>
      </c>
      <c r="O25" s="588">
        <v>141318.04506650899</v>
      </c>
      <c r="P25" s="588">
        <v>24415.0015096559</v>
      </c>
      <c r="Q25" s="588">
        <v>0</v>
      </c>
      <c r="R25" s="588">
        <v>913076.216403089</v>
      </c>
      <c r="S25" s="592">
        <v>0</v>
      </c>
      <c r="T25" s="592">
        <v>0</v>
      </c>
      <c r="U25" s="592">
        <v>8566.3316997252205</v>
      </c>
      <c r="V25" s="592">
        <v>0</v>
      </c>
      <c r="W25" s="592">
        <v>0</v>
      </c>
      <c r="X25" s="592">
        <v>0</v>
      </c>
      <c r="Y25" s="592">
        <v>0</v>
      </c>
      <c r="Z25" s="592">
        <v>0</v>
      </c>
      <c r="AA25" s="592">
        <v>907344.59875585895</v>
      </c>
      <c r="AB25" s="592">
        <v>0</v>
      </c>
      <c r="AC25" s="592">
        <v>621967.37916423695</v>
      </c>
      <c r="AD25" s="592">
        <v>0</v>
      </c>
      <c r="AE25" s="592">
        <v>-166306.62430719301</v>
      </c>
      <c r="AF25" s="592">
        <v>21299065.399850901</v>
      </c>
      <c r="AG25" s="592">
        <v>13662728.621492401</v>
      </c>
      <c r="AH25" s="592">
        <v>46054.893020196701</v>
      </c>
      <c r="AI25" s="592">
        <v>25330.1911611082</v>
      </c>
      <c r="AJ25" s="460">
        <v>0.11783072571320601</v>
      </c>
      <c r="AK25" s="460">
        <v>1.1064573224385901</v>
      </c>
      <c r="AL25" s="460">
        <v>0.163053669809333</v>
      </c>
      <c r="AM25" s="460">
        <v>8.4828501292318795E-2</v>
      </c>
      <c r="AN25" s="460">
        <v>0.13873546010080701</v>
      </c>
      <c r="AO25" s="460">
        <v>6.0510291583792397E-2</v>
      </c>
      <c r="AP25" s="460">
        <v>0.29767194014716902</v>
      </c>
      <c r="AQ25" s="460">
        <v>-4.5222944096127198E-2</v>
      </c>
      <c r="AR25" s="460">
        <v>3.30022244208871E-2</v>
      </c>
      <c r="AS25" s="460">
        <v>-2.0904734387600699E-2</v>
      </c>
      <c r="AT25" s="460">
        <v>5.7320434129413601E-2</v>
      </c>
      <c r="AU25" s="460">
        <v>-0.42465373385869098</v>
      </c>
      <c r="AV25" s="460">
        <v>0.30989839573872102</v>
      </c>
      <c r="AW25" s="460">
        <v>-0.19630021199303499</v>
      </c>
      <c r="AX25" s="460">
        <v>0.53825191760437596</v>
      </c>
      <c r="AY25" s="460">
        <v>-0.179841214433963</v>
      </c>
      <c r="AZ25" s="460">
        <v>-1.6887499197028899</v>
      </c>
    </row>
    <row r="26" spans="1:52" x14ac:dyDescent="0.2">
      <c r="A26" s="588" t="s">
        <v>405</v>
      </c>
      <c r="B26" s="588" t="s">
        <v>231</v>
      </c>
      <c r="C26" s="588" t="s">
        <v>62</v>
      </c>
      <c r="D26" s="588">
        <v>831223.69900000002</v>
      </c>
      <c r="E26" s="588">
        <v>35.919952199999997</v>
      </c>
      <c r="F26" s="589">
        <v>0.63197446883807795</v>
      </c>
      <c r="G26" s="589">
        <v>0.76774286438425499</v>
      </c>
      <c r="H26" s="588">
        <v>0</v>
      </c>
      <c r="I26" s="588">
        <v>431240.00541886099</v>
      </c>
      <c r="J26" s="588">
        <v>682369.34667902195</v>
      </c>
      <c r="K26" s="588">
        <v>561698.48711615696</v>
      </c>
      <c r="L26" s="460">
        <v>406635.18356186198</v>
      </c>
      <c r="M26" s="460">
        <v>167270.35200000001</v>
      </c>
      <c r="N26" s="460">
        <v>573905.53556186205</v>
      </c>
      <c r="O26" s="588">
        <v>60399.558547073902</v>
      </c>
      <c r="P26" s="588">
        <v>24834.803669066299</v>
      </c>
      <c r="Q26" s="588">
        <v>0</v>
      </c>
      <c r="R26" s="588">
        <v>304264.837929125</v>
      </c>
      <c r="S26" s="592">
        <v>0</v>
      </c>
      <c r="T26" s="592">
        <v>0</v>
      </c>
      <c r="U26" s="592">
        <v>17135.9834165967</v>
      </c>
      <c r="V26" s="592">
        <v>0</v>
      </c>
      <c r="W26" s="592">
        <v>0</v>
      </c>
      <c r="X26" s="592">
        <v>0</v>
      </c>
      <c r="Y26" s="592">
        <v>0</v>
      </c>
      <c r="Z26" s="592">
        <v>0</v>
      </c>
      <c r="AA26" s="592">
        <v>167270.35200000001</v>
      </c>
      <c r="AB26" s="592">
        <v>0</v>
      </c>
      <c r="AC26" s="592">
        <v>353288.53224402998</v>
      </c>
      <c r="AD26" s="592">
        <v>0</v>
      </c>
      <c r="AE26" s="592">
        <v>112506.00502803001</v>
      </c>
      <c r="AF26" s="592">
        <v>5787177.1341914004</v>
      </c>
      <c r="AG26" s="592">
        <v>3935417.4237457099</v>
      </c>
      <c r="AH26" s="592">
        <v>0</v>
      </c>
      <c r="AI26" s="592">
        <v>0</v>
      </c>
      <c r="AJ26" s="460">
        <v>0.109579228576065</v>
      </c>
      <c r="AK26" s="460">
        <v>0</v>
      </c>
      <c r="AL26" s="460">
        <v>0.17339185992360301</v>
      </c>
      <c r="AM26" s="460">
        <v>7.0064781807749693E-2</v>
      </c>
      <c r="AN26" s="460">
        <v>0.14272907461530099</v>
      </c>
      <c r="AO26" s="460">
        <v>3.9401996499447998E-2</v>
      </c>
      <c r="AP26" s="460">
        <v>0.30159420720799701</v>
      </c>
      <c r="AQ26" s="460">
        <v>-6.3812631347537493E-2</v>
      </c>
      <c r="AR26" s="460">
        <v>3.9514446768315399E-2</v>
      </c>
      <c r="AS26" s="460">
        <v>-3.3149846039235799E-2</v>
      </c>
      <c r="AT26" s="460">
        <v>7.0177232076617094E-2</v>
      </c>
      <c r="AU26" s="460">
        <v>0</v>
      </c>
      <c r="AV26" s="460">
        <v>0</v>
      </c>
      <c r="AW26" s="460">
        <v>0</v>
      </c>
      <c r="AX26" s="460">
        <v>0</v>
      </c>
      <c r="AY26" s="460">
        <v>-0.19201497863193201</v>
      </c>
      <c r="AZ26" s="460">
        <v>0</v>
      </c>
    </row>
    <row r="27" spans="1:52" x14ac:dyDescent="0.2">
      <c r="A27" s="588" t="s">
        <v>399</v>
      </c>
      <c r="B27" s="588" t="s">
        <v>231</v>
      </c>
      <c r="C27" s="588" t="s">
        <v>63</v>
      </c>
      <c r="D27" s="588">
        <v>253523.37670091499</v>
      </c>
      <c r="E27" s="588">
        <v>236.223059132857</v>
      </c>
      <c r="F27" s="589">
        <v>0.16781933664710999</v>
      </c>
      <c r="G27" s="589">
        <v>0.172782930216905</v>
      </c>
      <c r="H27" s="588">
        <v>0</v>
      </c>
      <c r="I27" s="588">
        <v>77647.478377273001</v>
      </c>
      <c r="J27" s="588">
        <v>462684.93207400601</v>
      </c>
      <c r="K27" s="588">
        <v>449393.22582269902</v>
      </c>
      <c r="L27" s="460">
        <v>401425.77263962902</v>
      </c>
      <c r="M27" s="460">
        <v>51743.595000000001</v>
      </c>
      <c r="N27" s="460">
        <v>453169.367639629</v>
      </c>
      <c r="O27" s="588">
        <v>37517.325838763201</v>
      </c>
      <c r="P27" s="588">
        <v>19503.043054429199</v>
      </c>
      <c r="Q27" s="588">
        <v>0</v>
      </c>
      <c r="R27" s="588">
        <v>335837.41203813901</v>
      </c>
      <c r="S27" s="592">
        <v>0</v>
      </c>
      <c r="T27" s="592">
        <v>0</v>
      </c>
      <c r="U27" s="592">
        <v>8567.9917082983393</v>
      </c>
      <c r="V27" s="592">
        <v>0</v>
      </c>
      <c r="W27" s="592">
        <v>0</v>
      </c>
      <c r="X27" s="592">
        <v>0</v>
      </c>
      <c r="Y27" s="592">
        <v>0</v>
      </c>
      <c r="Z27" s="592">
        <v>0</v>
      </c>
      <c r="AA27" s="592">
        <v>51743.595000000001</v>
      </c>
      <c r="AB27" s="592">
        <v>0</v>
      </c>
      <c r="AC27" s="592">
        <v>69821.885863860705</v>
      </c>
      <c r="AD27" s="592">
        <v>0</v>
      </c>
      <c r="AE27" s="592">
        <v>10846.9749493364</v>
      </c>
      <c r="AF27" s="592">
        <v>1029393.90316891</v>
      </c>
      <c r="AG27" s="592">
        <v>669106.06160245696</v>
      </c>
      <c r="AH27" s="592">
        <v>0</v>
      </c>
      <c r="AI27" s="592">
        <v>0</v>
      </c>
      <c r="AJ27" s="460">
        <v>0.116046592361326</v>
      </c>
      <c r="AK27" s="460">
        <v>0</v>
      </c>
      <c r="AL27" s="460">
        <v>0.69149714615633795</v>
      </c>
      <c r="AM27" s="460">
        <v>9.1553735573200498E-2</v>
      </c>
      <c r="AN27" s="460">
        <v>0.67163227418152005</v>
      </c>
      <c r="AO27" s="460">
        <v>7.1688863598382099E-2</v>
      </c>
      <c r="AP27" s="460">
        <v>0.82643260864946599</v>
      </c>
      <c r="AQ27" s="460">
        <v>-0.57545055379501198</v>
      </c>
      <c r="AR27" s="460">
        <v>2.4492856788125902E-2</v>
      </c>
      <c r="AS27" s="460">
        <v>-0.55558568182019397</v>
      </c>
      <c r="AT27" s="460">
        <v>4.4357728762944401E-2</v>
      </c>
      <c r="AU27" s="460">
        <v>0</v>
      </c>
      <c r="AV27" s="460">
        <v>0</v>
      </c>
      <c r="AW27" s="460">
        <v>0</v>
      </c>
      <c r="AX27" s="460">
        <v>0</v>
      </c>
      <c r="AY27" s="460">
        <v>-0.71038601628814002</v>
      </c>
      <c r="AZ27" s="460">
        <v>0</v>
      </c>
    </row>
    <row r="28" spans="1:52" x14ac:dyDescent="0.2">
      <c r="A28" s="588" t="s">
        <v>400</v>
      </c>
      <c r="B28" s="588" t="s">
        <v>231</v>
      </c>
      <c r="C28" s="588" t="s">
        <v>64</v>
      </c>
      <c r="D28" s="588">
        <v>11254.295</v>
      </c>
      <c r="E28" s="588">
        <v>1.09798</v>
      </c>
      <c r="F28" s="589">
        <v>3.94627178133218E-2</v>
      </c>
      <c r="G28" s="589">
        <v>3.9973969079790402E-2</v>
      </c>
      <c r="H28" s="588">
        <v>0</v>
      </c>
      <c r="I28" s="588">
        <v>4999.9317370039098</v>
      </c>
      <c r="J28" s="588">
        <v>126700.13658603199</v>
      </c>
      <c r="K28" s="588">
        <v>125079.691912098</v>
      </c>
      <c r="L28" s="460">
        <v>122497.824277868</v>
      </c>
      <c r="M28" s="460">
        <v>2785.12</v>
      </c>
      <c r="N28" s="460">
        <v>125282.94427786799</v>
      </c>
      <c r="O28" s="588">
        <v>8377.7285251834692</v>
      </c>
      <c r="P28" s="588">
        <v>22221.284802455099</v>
      </c>
      <c r="Q28" s="588">
        <v>1887.6237960778799</v>
      </c>
      <c r="R28" s="588">
        <v>74588.802079214103</v>
      </c>
      <c r="S28" s="592">
        <v>0</v>
      </c>
      <c r="T28" s="592">
        <v>0</v>
      </c>
      <c r="U28" s="592">
        <v>15422.385074936999</v>
      </c>
      <c r="V28" s="592">
        <v>0</v>
      </c>
      <c r="W28" s="592">
        <v>0</v>
      </c>
      <c r="X28" s="592">
        <v>0</v>
      </c>
      <c r="Y28" s="592">
        <v>0</v>
      </c>
      <c r="Z28" s="592">
        <v>0</v>
      </c>
      <c r="AA28" s="592">
        <v>2785.12</v>
      </c>
      <c r="AB28" s="592">
        <v>0</v>
      </c>
      <c r="AC28" s="592">
        <v>5260.1275999999998</v>
      </c>
      <c r="AD28" s="592">
        <v>0</v>
      </c>
      <c r="AE28" s="592">
        <v>1485.0045600000001</v>
      </c>
      <c r="AF28" s="592">
        <v>86195.056007717998</v>
      </c>
      <c r="AG28" s="592">
        <v>56026.786405016697</v>
      </c>
      <c r="AH28" s="592">
        <v>0</v>
      </c>
      <c r="AI28" s="592">
        <v>0</v>
      </c>
      <c r="AJ28" s="460">
        <v>8.9241808388928201E-2</v>
      </c>
      <c r="AK28" s="460">
        <v>0</v>
      </c>
      <c r="AL28" s="460">
        <v>2.2614207366833199</v>
      </c>
      <c r="AM28" s="460">
        <v>7.5005413977984201E-2</v>
      </c>
      <c r="AN28" s="460">
        <v>2.2324980591943802</v>
      </c>
      <c r="AO28" s="460">
        <v>4.60827364890464E-2</v>
      </c>
      <c r="AP28" s="460">
        <v>2.3911704182889002</v>
      </c>
      <c r="AQ28" s="460">
        <v>-2.17217892829439</v>
      </c>
      <c r="AR28" s="460">
        <v>1.4236394410944099E-2</v>
      </c>
      <c r="AS28" s="460">
        <v>-2.1432562508054498</v>
      </c>
      <c r="AT28" s="460">
        <v>4.3159071899881801E-2</v>
      </c>
      <c r="AU28" s="460">
        <v>0</v>
      </c>
      <c r="AV28" s="460">
        <v>0</v>
      </c>
      <c r="AW28" s="460">
        <v>0</v>
      </c>
      <c r="AX28" s="460">
        <v>0</v>
      </c>
      <c r="AY28" s="460">
        <v>-2.3019286098999698</v>
      </c>
      <c r="AZ28" s="460">
        <v>0</v>
      </c>
    </row>
    <row r="29" spans="1:52" x14ac:dyDescent="0.2">
      <c r="A29" s="588" t="s">
        <v>401</v>
      </c>
      <c r="B29" s="588" t="s">
        <v>231</v>
      </c>
      <c r="C29" s="588" t="s">
        <v>65</v>
      </c>
      <c r="D29" s="588">
        <v>253914.41115957999</v>
      </c>
      <c r="E29" s="588">
        <v>72.328761970000002</v>
      </c>
      <c r="F29" s="589">
        <v>0.57033105690833696</v>
      </c>
      <c r="G29" s="589">
        <v>0.57837406775231504</v>
      </c>
      <c r="H29" s="588">
        <v>0</v>
      </c>
      <c r="I29" s="588">
        <v>186399.171172175</v>
      </c>
      <c r="J29" s="588">
        <v>326826.26855814602</v>
      </c>
      <c r="K29" s="588">
        <v>322281.34275895602</v>
      </c>
      <c r="L29" s="460">
        <v>254496.15944283799</v>
      </c>
      <c r="M29" s="460">
        <v>73121.436302312199</v>
      </c>
      <c r="N29" s="460">
        <v>327617.59574515099</v>
      </c>
      <c r="O29" s="588">
        <v>20173.8266185268</v>
      </c>
      <c r="P29" s="588">
        <v>24890.352327903602</v>
      </c>
      <c r="Q29" s="588">
        <v>534.04303127470303</v>
      </c>
      <c r="R29" s="588">
        <v>196045.949902686</v>
      </c>
      <c r="S29" s="592">
        <v>0</v>
      </c>
      <c r="T29" s="592">
        <v>0</v>
      </c>
      <c r="U29" s="592">
        <v>12851.987562447501</v>
      </c>
      <c r="V29" s="592">
        <v>0</v>
      </c>
      <c r="W29" s="592">
        <v>0</v>
      </c>
      <c r="X29" s="592">
        <v>0</v>
      </c>
      <c r="Y29" s="592">
        <v>0</v>
      </c>
      <c r="Z29" s="592">
        <v>0</v>
      </c>
      <c r="AA29" s="592">
        <v>73121.436302312199</v>
      </c>
      <c r="AB29" s="592">
        <v>0</v>
      </c>
      <c r="AC29" s="592">
        <v>75039.350438676003</v>
      </c>
      <c r="AD29" s="592">
        <v>0</v>
      </c>
      <c r="AE29" s="592">
        <v>1150.7484709461701</v>
      </c>
      <c r="AF29" s="592">
        <v>2052215.4818878199</v>
      </c>
      <c r="AG29" s="592">
        <v>1333940.0926270101</v>
      </c>
      <c r="AH29" s="592">
        <v>0</v>
      </c>
      <c r="AI29" s="592">
        <v>0</v>
      </c>
      <c r="AJ29" s="460">
        <v>0.13973578888770599</v>
      </c>
      <c r="AK29" s="460">
        <v>0</v>
      </c>
      <c r="AL29" s="460">
        <v>0.245008205664249</v>
      </c>
      <c r="AM29" s="460">
        <v>5.4222906647076997E-2</v>
      </c>
      <c r="AN29" s="460">
        <v>0.24160106180200899</v>
      </c>
      <c r="AO29" s="460">
        <v>5.08157627848368E-2</v>
      </c>
      <c r="AP29" s="460">
        <v>0.40335398486133101</v>
      </c>
      <c r="AQ29" s="460">
        <v>-0.105272416776543</v>
      </c>
      <c r="AR29" s="460">
        <v>8.5512882240629196E-2</v>
      </c>
      <c r="AS29" s="460">
        <v>-0.101865272914303</v>
      </c>
      <c r="AT29" s="460">
        <v>8.8920026102869407E-2</v>
      </c>
      <c r="AU29" s="460">
        <v>0</v>
      </c>
      <c r="AV29" s="460">
        <v>0</v>
      </c>
      <c r="AW29" s="460">
        <v>0</v>
      </c>
      <c r="AX29" s="460">
        <v>0</v>
      </c>
      <c r="AY29" s="460">
        <v>-0.26361819597362501</v>
      </c>
      <c r="AZ29" s="460">
        <v>0</v>
      </c>
    </row>
    <row r="30" spans="1:52" x14ac:dyDescent="0.2">
      <c r="A30" s="588" t="s">
        <v>406</v>
      </c>
      <c r="B30" s="588" t="s">
        <v>231</v>
      </c>
      <c r="C30" s="588" t="s">
        <v>66</v>
      </c>
      <c r="D30" s="588">
        <v>799620.69944480003</v>
      </c>
      <c r="E30" s="588">
        <v>179.87455049708501</v>
      </c>
      <c r="F30" s="589">
        <v>0.50249840453134098</v>
      </c>
      <c r="G30" s="589">
        <v>0.56127404237428202</v>
      </c>
      <c r="H30" s="588">
        <v>0</v>
      </c>
      <c r="I30" s="588">
        <v>315772.86773762002</v>
      </c>
      <c r="J30" s="588">
        <v>628405.71211788803</v>
      </c>
      <c r="K30" s="588">
        <v>562600.16301813605</v>
      </c>
      <c r="L30" s="460">
        <v>414474.845768017</v>
      </c>
      <c r="M30" s="460">
        <v>159786.18659999999</v>
      </c>
      <c r="N30" s="460">
        <v>574261.03236801701</v>
      </c>
      <c r="O30" s="588">
        <v>38344.718224446799</v>
      </c>
      <c r="P30" s="588">
        <v>42879.011453700601</v>
      </c>
      <c r="Q30" s="588">
        <v>0</v>
      </c>
      <c r="R30" s="588">
        <v>333251.11608986999</v>
      </c>
      <c r="S30" s="592">
        <v>0</v>
      </c>
      <c r="T30" s="592">
        <v>0</v>
      </c>
      <c r="U30" s="592">
        <v>0</v>
      </c>
      <c r="V30" s="592">
        <v>0</v>
      </c>
      <c r="W30" s="592">
        <v>0</v>
      </c>
      <c r="X30" s="592">
        <v>0</v>
      </c>
      <c r="Y30" s="592">
        <v>0</v>
      </c>
      <c r="Z30" s="592">
        <v>0</v>
      </c>
      <c r="AA30" s="592">
        <v>159786.18659999999</v>
      </c>
      <c r="AB30" s="592">
        <v>0</v>
      </c>
      <c r="AC30" s="592">
        <v>249922.17771437601</v>
      </c>
      <c r="AD30" s="592">
        <v>0</v>
      </c>
      <c r="AE30" s="592">
        <v>58489.850455812702</v>
      </c>
      <c r="AF30" s="592">
        <v>3295049.5279867598</v>
      </c>
      <c r="AG30" s="592">
        <v>2242484.3936200002</v>
      </c>
      <c r="AH30" s="592">
        <v>0</v>
      </c>
      <c r="AI30" s="592">
        <v>0</v>
      </c>
      <c r="AJ30" s="460">
        <v>0.14081385299091101</v>
      </c>
      <c r="AK30" s="460">
        <v>0</v>
      </c>
      <c r="AL30" s="460">
        <v>0.28022746285581301</v>
      </c>
      <c r="AM30" s="460">
        <v>9.5399043560132096E-2</v>
      </c>
      <c r="AN30" s="460">
        <v>0.25088253216779</v>
      </c>
      <c r="AO30" s="460">
        <v>6.60541128721093E-2</v>
      </c>
      <c r="AP30" s="460">
        <v>0.40334462480037198</v>
      </c>
      <c r="AQ30" s="460">
        <v>-0.13941360986490101</v>
      </c>
      <c r="AR30" s="460">
        <v>4.5414809430779302E-2</v>
      </c>
      <c r="AS30" s="460">
        <v>-0.110068679176879</v>
      </c>
      <c r="AT30" s="460">
        <v>7.4759740118802098E-2</v>
      </c>
      <c r="AU30" s="460">
        <v>0</v>
      </c>
      <c r="AV30" s="460">
        <v>0</v>
      </c>
      <c r="AW30" s="460">
        <v>0</v>
      </c>
      <c r="AX30" s="460">
        <v>0</v>
      </c>
      <c r="AY30" s="460">
        <v>-0.26253077180946</v>
      </c>
      <c r="AZ30" s="460">
        <v>0</v>
      </c>
    </row>
    <row r="31" spans="1:52" x14ac:dyDescent="0.2">
      <c r="A31" s="588" t="s">
        <v>407</v>
      </c>
      <c r="B31" s="588" t="s">
        <v>231</v>
      </c>
      <c r="C31" s="588" t="s">
        <v>200</v>
      </c>
      <c r="D31" s="588">
        <v>5321005.75</v>
      </c>
      <c r="E31" s="588">
        <v>682.39371190071699</v>
      </c>
      <c r="F31" s="589">
        <v>1.34975496170502</v>
      </c>
      <c r="G31" s="589">
        <v>1.6094716383066201</v>
      </c>
      <c r="H31" s="588">
        <v>0</v>
      </c>
      <c r="I31" s="588">
        <v>3936519.7472138898</v>
      </c>
      <c r="J31" s="588">
        <v>2916469.9215043099</v>
      </c>
      <c r="K31" s="588">
        <v>2445845.9866715199</v>
      </c>
      <c r="L31" s="460">
        <v>1210731.71524609</v>
      </c>
      <c r="M31" s="460">
        <v>1332346.1722148501</v>
      </c>
      <c r="N31" s="460">
        <v>2543077.8874609498</v>
      </c>
      <c r="O31" s="588">
        <v>140793.63145312</v>
      </c>
      <c r="P31" s="588">
        <v>0</v>
      </c>
      <c r="Q31" s="588">
        <v>55979.353383092603</v>
      </c>
      <c r="R31" s="588">
        <v>1013958.7304098801</v>
      </c>
      <c r="S31" s="592">
        <v>0</v>
      </c>
      <c r="T31" s="592">
        <v>0</v>
      </c>
      <c r="U31" s="592">
        <v>0</v>
      </c>
      <c r="V31" s="592">
        <v>0</v>
      </c>
      <c r="W31" s="592">
        <v>0</v>
      </c>
      <c r="X31" s="592">
        <v>0</v>
      </c>
      <c r="Y31" s="592">
        <v>0</v>
      </c>
      <c r="Z31" s="592">
        <v>0</v>
      </c>
      <c r="AA31" s="592">
        <v>1332346.1722148501</v>
      </c>
      <c r="AB31" s="592">
        <v>0</v>
      </c>
      <c r="AC31" s="592">
        <v>2013319.04005224</v>
      </c>
      <c r="AD31" s="592">
        <v>0</v>
      </c>
      <c r="AE31" s="592">
        <v>407006.91085201601</v>
      </c>
      <c r="AF31" s="592">
        <v>41139002.5621401</v>
      </c>
      <c r="AG31" s="592">
        <v>26121919.839902099</v>
      </c>
      <c r="AH31" s="592">
        <v>0</v>
      </c>
      <c r="AI31" s="592">
        <v>0</v>
      </c>
      <c r="AJ31" s="460">
        <v>0.15069794913009099</v>
      </c>
      <c r="AK31" s="460">
        <v>0</v>
      </c>
      <c r="AL31" s="460">
        <v>0.11164837574646</v>
      </c>
      <c r="AM31" s="460">
        <v>6.5299113415570806E-2</v>
      </c>
      <c r="AN31" s="460">
        <v>9.3631938297866202E-2</v>
      </c>
      <c r="AO31" s="460">
        <v>4.7282675966976599E-2</v>
      </c>
      <c r="AP31" s="460">
        <v>0.258343850154095</v>
      </c>
      <c r="AQ31" s="460">
        <v>3.9049573383631103E-2</v>
      </c>
      <c r="AR31" s="460">
        <v>8.5398835714520602E-2</v>
      </c>
      <c r="AS31" s="460">
        <v>5.7066010832225199E-2</v>
      </c>
      <c r="AT31" s="460">
        <v>0.103415273163115</v>
      </c>
      <c r="AU31" s="460">
        <v>0</v>
      </c>
      <c r="AV31" s="460">
        <v>0</v>
      </c>
      <c r="AW31" s="460">
        <v>0</v>
      </c>
      <c r="AX31" s="460">
        <v>0</v>
      </c>
      <c r="AY31" s="460">
        <v>-0.107645901024003</v>
      </c>
      <c r="AZ31" s="460">
        <v>0</v>
      </c>
    </row>
    <row r="32" spans="1:52" x14ac:dyDescent="0.2">
      <c r="A32" s="588" t="s">
        <v>542</v>
      </c>
      <c r="B32" s="588" t="s">
        <v>543</v>
      </c>
      <c r="C32" s="588" t="s">
        <v>544</v>
      </c>
      <c r="D32" s="588">
        <v>0</v>
      </c>
      <c r="E32" s="588">
        <v>0</v>
      </c>
      <c r="F32" s="589">
        <v>0</v>
      </c>
      <c r="G32" s="589">
        <v>0</v>
      </c>
      <c r="H32" s="588">
        <v>0</v>
      </c>
      <c r="I32" s="588">
        <v>0</v>
      </c>
      <c r="J32" s="588">
        <v>18128000</v>
      </c>
      <c r="K32" s="588">
        <v>18128000</v>
      </c>
      <c r="L32" s="460">
        <v>18128000</v>
      </c>
      <c r="M32" s="460">
        <v>0</v>
      </c>
      <c r="N32" s="460">
        <v>18128000</v>
      </c>
      <c r="O32" s="588">
        <v>0</v>
      </c>
      <c r="P32" s="588">
        <v>0</v>
      </c>
      <c r="Q32" s="588">
        <v>0</v>
      </c>
      <c r="R32" s="588">
        <v>18128000</v>
      </c>
      <c r="S32" s="592">
        <v>0</v>
      </c>
      <c r="T32" s="592">
        <v>0</v>
      </c>
      <c r="U32" s="592">
        <v>0</v>
      </c>
      <c r="V32" s="592">
        <v>0</v>
      </c>
      <c r="W32" s="592">
        <v>0</v>
      </c>
      <c r="X32" s="592">
        <v>0</v>
      </c>
      <c r="Y32" s="592">
        <v>0</v>
      </c>
      <c r="Z32" s="592">
        <v>0</v>
      </c>
      <c r="AA32" s="592">
        <v>0</v>
      </c>
      <c r="AB32" s="592">
        <v>0</v>
      </c>
      <c r="AC32" s="592">
        <v>0</v>
      </c>
      <c r="AD32" s="592">
        <v>0</v>
      </c>
      <c r="AE32" s="592">
        <v>0</v>
      </c>
      <c r="AF32" s="592">
        <v>0</v>
      </c>
      <c r="AG32" s="592">
        <v>0</v>
      </c>
      <c r="AH32" s="592">
        <v>0</v>
      </c>
      <c r="AI32" s="592">
        <v>0</v>
      </c>
      <c r="AJ32" s="460">
        <v>0</v>
      </c>
      <c r="AK32" s="460">
        <v>0</v>
      </c>
      <c r="AL32" s="460">
        <v>0</v>
      </c>
      <c r="AM32" s="460">
        <v>0</v>
      </c>
      <c r="AN32" s="460">
        <v>0</v>
      </c>
      <c r="AO32" s="460">
        <v>0</v>
      </c>
      <c r="AP32" s="460">
        <v>0</v>
      </c>
      <c r="AQ32" s="460">
        <v>0</v>
      </c>
      <c r="AR32" s="460">
        <v>0</v>
      </c>
      <c r="AS32" s="460">
        <v>0</v>
      </c>
      <c r="AT32" s="460">
        <v>0</v>
      </c>
      <c r="AU32" s="460">
        <v>0</v>
      </c>
      <c r="AV32" s="460">
        <v>0</v>
      </c>
      <c r="AW32" s="460">
        <v>0</v>
      </c>
      <c r="AX32" s="460">
        <v>0</v>
      </c>
      <c r="AY32" s="460">
        <v>0</v>
      </c>
      <c r="AZ32" s="460">
        <v>0</v>
      </c>
    </row>
    <row r="33" spans="1:52" x14ac:dyDescent="0.2">
      <c r="A33" s="588" t="s">
        <v>275</v>
      </c>
      <c r="B33" s="588" t="s">
        <v>228</v>
      </c>
      <c r="C33" s="588" t="s">
        <v>1</v>
      </c>
      <c r="D33" s="588">
        <v>68789580</v>
      </c>
      <c r="E33" s="588">
        <v>30076</v>
      </c>
      <c r="F33" s="589">
        <v>0.72549849012099499</v>
      </c>
      <c r="G33" s="589">
        <v>0.72889259416130103</v>
      </c>
      <c r="H33" s="588">
        <v>0</v>
      </c>
      <c r="I33" s="588">
        <v>7438274.3091928596</v>
      </c>
      <c r="J33" s="588">
        <v>10252639.2686942</v>
      </c>
      <c r="K33" s="588">
        <v>10204897.633445799</v>
      </c>
      <c r="L33" s="460">
        <v>9250064.9284789506</v>
      </c>
      <c r="M33" s="460">
        <v>1030000</v>
      </c>
      <c r="N33" s="460">
        <v>10280064.928479001</v>
      </c>
      <c r="O33" s="588">
        <v>375173.53838080401</v>
      </c>
      <c r="P33" s="588">
        <v>45040.836921344002</v>
      </c>
      <c r="Q33" s="588">
        <v>836717.33820468397</v>
      </c>
      <c r="R33" s="588">
        <v>7993133.2149721198</v>
      </c>
      <c r="S33" s="592">
        <v>0</v>
      </c>
      <c r="T33" s="592">
        <v>0</v>
      </c>
      <c r="U33" s="592">
        <v>0</v>
      </c>
      <c r="V33" s="592">
        <v>0</v>
      </c>
      <c r="W33" s="592">
        <v>0</v>
      </c>
      <c r="X33" s="592">
        <v>0</v>
      </c>
      <c r="Y33" s="592">
        <v>1030000</v>
      </c>
      <c r="Z33" s="592">
        <v>0</v>
      </c>
      <c r="AA33" s="592">
        <v>0</v>
      </c>
      <c r="AB33" s="592">
        <v>0</v>
      </c>
      <c r="AC33" s="592">
        <v>515000</v>
      </c>
      <c r="AD33" s="592">
        <v>515000</v>
      </c>
      <c r="AE33" s="592">
        <v>0</v>
      </c>
      <c r="AF33" s="592">
        <v>81888135.726225197</v>
      </c>
      <c r="AG33" s="592">
        <v>73278882.182010904</v>
      </c>
      <c r="AH33" s="592">
        <v>0</v>
      </c>
      <c r="AI33" s="592">
        <v>0</v>
      </c>
      <c r="AJ33" s="460">
        <v>0.101506383390478</v>
      </c>
      <c r="AK33" s="460">
        <v>0</v>
      </c>
      <c r="AL33" s="460">
        <v>0.13991260460590199</v>
      </c>
      <c r="AM33" s="460">
        <v>1.36816270985825E-2</v>
      </c>
      <c r="AN33" s="460">
        <v>0.13926109855358901</v>
      </c>
      <c r="AO33" s="460">
        <v>1.30301210462691E-2</v>
      </c>
      <c r="AP33" s="460">
        <v>0.28614035054262399</v>
      </c>
      <c r="AQ33" s="460">
        <v>-3.8406221215424301E-2</v>
      </c>
      <c r="AR33" s="460">
        <v>8.7824756291895401E-2</v>
      </c>
      <c r="AS33" s="460">
        <v>-3.7754715163110901E-2</v>
      </c>
      <c r="AT33" s="460">
        <v>8.84762623442088E-2</v>
      </c>
      <c r="AU33" s="460">
        <v>0</v>
      </c>
      <c r="AV33" s="460">
        <v>0</v>
      </c>
      <c r="AW33" s="460">
        <v>0</v>
      </c>
      <c r="AX33" s="460">
        <v>0</v>
      </c>
      <c r="AY33" s="460">
        <v>-0.184633967152146</v>
      </c>
      <c r="AZ33" s="460">
        <v>0</v>
      </c>
    </row>
    <row r="34" spans="1:52" x14ac:dyDescent="0.2">
      <c r="A34" s="588" t="s">
        <v>279</v>
      </c>
      <c r="B34" s="588" t="s">
        <v>228</v>
      </c>
      <c r="C34" s="588" t="s">
        <v>3</v>
      </c>
      <c r="D34" s="588">
        <v>20260711.789473101</v>
      </c>
      <c r="E34" s="588">
        <v>8895.9625302323202</v>
      </c>
      <c r="F34" s="589">
        <v>0.71671875917240302</v>
      </c>
      <c r="G34" s="589">
        <v>1.05796016097636</v>
      </c>
      <c r="H34" s="588">
        <v>-70238.234355785593</v>
      </c>
      <c r="I34" s="588">
        <v>7006114.5173551803</v>
      </c>
      <c r="J34" s="588">
        <v>9677263.4931563195</v>
      </c>
      <c r="K34" s="588">
        <v>6555895.5231343498</v>
      </c>
      <c r="L34" s="460">
        <v>2280441.1201041001</v>
      </c>
      <c r="M34" s="460">
        <v>4612031</v>
      </c>
      <c r="N34" s="460">
        <v>6892472.1201040996</v>
      </c>
      <c r="O34" s="588">
        <v>242952.54576426599</v>
      </c>
      <c r="P34" s="588">
        <v>71979.199922995205</v>
      </c>
      <c r="Q34" s="588">
        <v>728590.78494202194</v>
      </c>
      <c r="R34" s="588">
        <v>721918.58947481203</v>
      </c>
      <c r="S34" s="592">
        <v>0</v>
      </c>
      <c r="T34" s="592">
        <v>0</v>
      </c>
      <c r="U34" s="592">
        <v>515000</v>
      </c>
      <c r="V34" s="592">
        <v>0</v>
      </c>
      <c r="W34" s="592">
        <v>0</v>
      </c>
      <c r="X34" s="592">
        <v>0</v>
      </c>
      <c r="Y34" s="592">
        <v>0</v>
      </c>
      <c r="Z34" s="592">
        <v>0</v>
      </c>
      <c r="AA34" s="592">
        <v>3685031</v>
      </c>
      <c r="AB34" s="592">
        <v>927000</v>
      </c>
      <c r="AC34" s="592">
        <v>6131625.5658999998</v>
      </c>
      <c r="AD34" s="592">
        <v>927000</v>
      </c>
      <c r="AE34" s="592">
        <v>1478344.9494070001</v>
      </c>
      <c r="AF34" s="592">
        <v>106979684.08211</v>
      </c>
      <c r="AG34" s="592">
        <v>63575934.616125502</v>
      </c>
      <c r="AH34" s="592">
        <v>-90074.658904166703</v>
      </c>
      <c r="AI34" s="592">
        <v>-65700.832233379304</v>
      </c>
      <c r="AJ34" s="460">
        <v>0.110200731765226</v>
      </c>
      <c r="AK34" s="460">
        <v>1.06906156236026</v>
      </c>
      <c r="AL34" s="460">
        <v>0.15375728673890801</v>
      </c>
      <c r="AM34" s="460">
        <v>0.11752447780040901</v>
      </c>
      <c r="AN34" s="460">
        <v>0.104163404095978</v>
      </c>
      <c r="AO34" s="460">
        <v>6.7930595157478693E-2</v>
      </c>
      <c r="AP34" s="460">
        <v>0.25966116285213398</v>
      </c>
      <c r="AQ34" s="460">
        <v>-4.3556554973682597E-2</v>
      </c>
      <c r="AR34" s="460">
        <v>-7.3237460351837204E-3</v>
      </c>
      <c r="AS34" s="460">
        <v>6.0373276692482101E-3</v>
      </c>
      <c r="AT34" s="460">
        <v>4.2270136607746998E-2</v>
      </c>
      <c r="AU34" s="460">
        <v>-0.42254382493936099</v>
      </c>
      <c r="AV34" s="460">
        <v>-7.1047943632380803E-2</v>
      </c>
      <c r="AW34" s="460">
        <v>5.8568349294794098E-2</v>
      </c>
      <c r="AX34" s="460">
        <v>0.41006423060177399</v>
      </c>
      <c r="AY34" s="460">
        <v>-0.14946043108690901</v>
      </c>
      <c r="AZ34" s="460">
        <v>-1.4499214243804801</v>
      </c>
    </row>
    <row r="35" spans="1:52" x14ac:dyDescent="0.2">
      <c r="A35" s="588" t="s">
        <v>282</v>
      </c>
      <c r="B35" s="588" t="s">
        <v>228</v>
      </c>
      <c r="C35" s="588" t="s">
        <v>2</v>
      </c>
      <c r="D35" s="588">
        <v>5371676.4222918497</v>
      </c>
      <c r="E35" s="588">
        <v>971.83147259197699</v>
      </c>
      <c r="F35" s="589">
        <v>0.63794363709971302</v>
      </c>
      <c r="G35" s="589">
        <v>0.62272770789709198</v>
      </c>
      <c r="H35" s="588">
        <v>-30047.1481564038</v>
      </c>
      <c r="I35" s="588">
        <v>1906215.93700188</v>
      </c>
      <c r="J35" s="588">
        <v>2940963.2446137699</v>
      </c>
      <c r="K35" s="588">
        <v>3012823.6869067098</v>
      </c>
      <c r="L35" s="460">
        <v>1874591.3477453501</v>
      </c>
      <c r="M35" s="460">
        <v>1227837.40359716</v>
      </c>
      <c r="N35" s="460">
        <v>3102428.7513425099</v>
      </c>
      <c r="O35" s="588">
        <v>323009.24705481698</v>
      </c>
      <c r="P35" s="588">
        <v>69063.720960819206</v>
      </c>
      <c r="Q35" s="588">
        <v>130360.28902377099</v>
      </c>
      <c r="R35" s="588">
        <v>668401.46664584102</v>
      </c>
      <c r="S35" s="592">
        <v>0</v>
      </c>
      <c r="T35" s="592">
        <v>0</v>
      </c>
      <c r="U35" s="592">
        <v>683756.62406010204</v>
      </c>
      <c r="V35" s="592">
        <v>0</v>
      </c>
      <c r="W35" s="592">
        <v>0</v>
      </c>
      <c r="X35" s="592">
        <v>0</v>
      </c>
      <c r="Y35" s="592">
        <v>59904.264631274396</v>
      </c>
      <c r="Z35" s="592">
        <v>130286.243067763</v>
      </c>
      <c r="AA35" s="592">
        <v>1037646.89589812</v>
      </c>
      <c r="AB35" s="592">
        <v>0</v>
      </c>
      <c r="AC35" s="592">
        <v>802100.18235149898</v>
      </c>
      <c r="AD35" s="592">
        <v>0</v>
      </c>
      <c r="AE35" s="592">
        <v>-222845.81291310399</v>
      </c>
      <c r="AF35" s="592">
        <v>26838785.318817101</v>
      </c>
      <c r="AG35" s="592">
        <v>17140230.066920299</v>
      </c>
      <c r="AH35" s="592">
        <v>-46083.734661306204</v>
      </c>
      <c r="AI35" s="592">
        <v>-29927.323829400601</v>
      </c>
      <c r="AJ35" s="460">
        <v>0.11121297261235601</v>
      </c>
      <c r="AK35" s="460">
        <v>1.0040038437010399</v>
      </c>
      <c r="AL35" s="460">
        <v>0.17433040498368199</v>
      </c>
      <c r="AM35" s="460">
        <v>6.3210937771751199E-2</v>
      </c>
      <c r="AN35" s="460">
        <v>0.17859005019692201</v>
      </c>
      <c r="AO35" s="460">
        <v>6.7470582984991395E-2</v>
      </c>
      <c r="AP35" s="460">
        <v>0.33298151398751302</v>
      </c>
      <c r="AQ35" s="460">
        <v>-6.3117432371325805E-2</v>
      </c>
      <c r="AR35" s="460">
        <v>4.8002034840604502E-2</v>
      </c>
      <c r="AS35" s="460">
        <v>-6.7377077584566097E-2</v>
      </c>
      <c r="AT35" s="460">
        <v>4.3742389627364403E-2</v>
      </c>
      <c r="AU35" s="460">
        <v>-0.569808928012698</v>
      </c>
      <c r="AV35" s="460">
        <v>0.43335077152756002</v>
      </c>
      <c r="AW35" s="460">
        <v>-0.60826397571475799</v>
      </c>
      <c r="AX35" s="460">
        <v>0.39489572382550098</v>
      </c>
      <c r="AY35" s="460">
        <v>-0.221768541375157</v>
      </c>
      <c r="AZ35" s="460">
        <v>-2.0020728043006599</v>
      </c>
    </row>
    <row r="36" spans="1:52" x14ac:dyDescent="0.2">
      <c r="A36" s="588" t="s">
        <v>285</v>
      </c>
      <c r="B36" s="588" t="s">
        <v>228</v>
      </c>
      <c r="C36" s="588" t="s">
        <v>8</v>
      </c>
      <c r="D36" s="588">
        <v>384655.3543296</v>
      </c>
      <c r="E36" s="588">
        <v>479.81322239999997</v>
      </c>
      <c r="F36" s="589">
        <v>0.110464720725112</v>
      </c>
      <c r="G36" s="589">
        <v>0.161336279405804</v>
      </c>
      <c r="H36" s="588">
        <v>94499.760509820801</v>
      </c>
      <c r="I36" s="588">
        <v>499613.53388810501</v>
      </c>
      <c r="J36" s="588">
        <v>5378308.0290073501</v>
      </c>
      <c r="K36" s="588">
        <v>3682453.1753553702</v>
      </c>
      <c r="L36" s="460">
        <v>2515952.0105521702</v>
      </c>
      <c r="M36" s="460">
        <v>1258331.6359999999</v>
      </c>
      <c r="N36" s="460">
        <v>3774283.6465521702</v>
      </c>
      <c r="O36" s="588">
        <v>216331.83160707101</v>
      </c>
      <c r="P36" s="588">
        <v>44476.791133491199</v>
      </c>
      <c r="Q36" s="588">
        <v>50765.827792976997</v>
      </c>
      <c r="R36" s="588">
        <v>2189150.4691931698</v>
      </c>
      <c r="S36" s="592">
        <v>0</v>
      </c>
      <c r="T36" s="592">
        <v>0</v>
      </c>
      <c r="U36" s="592">
        <v>15227.0908254646</v>
      </c>
      <c r="V36" s="592">
        <v>0</v>
      </c>
      <c r="W36" s="592">
        <v>0</v>
      </c>
      <c r="X36" s="592">
        <v>0</v>
      </c>
      <c r="Y36" s="592">
        <v>0</v>
      </c>
      <c r="Z36" s="592">
        <v>0</v>
      </c>
      <c r="AA36" s="592">
        <v>1258331.6359999999</v>
      </c>
      <c r="AB36" s="592">
        <v>0</v>
      </c>
      <c r="AC36" s="592">
        <v>4202400</v>
      </c>
      <c r="AD36" s="592">
        <v>0</v>
      </c>
      <c r="AE36" s="592">
        <v>1619237.63529603</v>
      </c>
      <c r="AF36" s="592">
        <v>2907015.2211277401</v>
      </c>
      <c r="AG36" s="592">
        <v>1744209.1673309701</v>
      </c>
      <c r="AH36" s="592">
        <v>149713.0113896</v>
      </c>
      <c r="AI36" s="592">
        <v>89827.808618478404</v>
      </c>
      <c r="AJ36" s="460">
        <v>0.28644129571490901</v>
      </c>
      <c r="AK36" s="460">
        <v>1.05201008421774</v>
      </c>
      <c r="AL36" s="460">
        <v>2.59305680433221</v>
      </c>
      <c r="AM36" s="460">
        <v>1.3800347079500299</v>
      </c>
      <c r="AN36" s="460">
        <v>1.77543015600621</v>
      </c>
      <c r="AO36" s="460">
        <v>0.56240805962403195</v>
      </c>
      <c r="AP36" s="460">
        <v>1.9699955337217601</v>
      </c>
      <c r="AQ36" s="460">
        <v>-2.3066155086173001</v>
      </c>
      <c r="AR36" s="460">
        <v>-1.0935934122351201</v>
      </c>
      <c r="AS36" s="460">
        <v>-1.4889888602913</v>
      </c>
      <c r="AT36" s="460">
        <v>-0.275966763909123</v>
      </c>
      <c r="AU36" s="460">
        <v>-8.4714837273099892</v>
      </c>
      <c r="AV36" s="460">
        <v>-4.0164295962775096</v>
      </c>
      <c r="AW36" s="460">
        <v>-5.4685945069644699</v>
      </c>
      <c r="AX36" s="460">
        <v>-1.0135403759319901</v>
      </c>
      <c r="AY36" s="460">
        <v>-1.68355423800685</v>
      </c>
      <c r="AZ36" s="460">
        <v>-6.1831728253090104</v>
      </c>
    </row>
    <row r="37" spans="1:52" x14ac:dyDescent="0.2">
      <c r="A37" s="588" t="s">
        <v>290</v>
      </c>
      <c r="B37" s="588" t="s">
        <v>228</v>
      </c>
      <c r="C37" s="588" t="s">
        <v>7</v>
      </c>
      <c r="D37" s="588">
        <v>0</v>
      </c>
      <c r="E37" s="588">
        <v>0</v>
      </c>
      <c r="F37" s="589">
        <v>0</v>
      </c>
      <c r="G37" s="589">
        <v>0</v>
      </c>
      <c r="H37" s="588">
        <v>0</v>
      </c>
      <c r="I37" s="588">
        <v>0</v>
      </c>
      <c r="J37" s="588">
        <v>289891.37407999998</v>
      </c>
      <c r="K37" s="588">
        <v>289891.37407999998</v>
      </c>
      <c r="L37" s="460">
        <v>289891.37407999998</v>
      </c>
      <c r="M37" s="460">
        <v>0</v>
      </c>
      <c r="N37" s="460">
        <v>289891.37407999998</v>
      </c>
      <c r="O37" s="588">
        <v>0</v>
      </c>
      <c r="P37" s="588">
        <v>289891.37407999998</v>
      </c>
      <c r="Q37" s="588">
        <v>0</v>
      </c>
      <c r="R37" s="588">
        <v>0</v>
      </c>
      <c r="S37" s="592">
        <v>0</v>
      </c>
      <c r="T37" s="592">
        <v>0</v>
      </c>
      <c r="U37" s="592">
        <v>0</v>
      </c>
      <c r="V37" s="592">
        <v>0</v>
      </c>
      <c r="W37" s="592">
        <v>0</v>
      </c>
      <c r="X37" s="592">
        <v>0</v>
      </c>
      <c r="Y37" s="592">
        <v>0</v>
      </c>
      <c r="Z37" s="592">
        <v>0</v>
      </c>
      <c r="AA37" s="592">
        <v>0</v>
      </c>
      <c r="AB37" s="592">
        <v>0</v>
      </c>
      <c r="AC37" s="592">
        <v>0</v>
      </c>
      <c r="AD37" s="592">
        <v>0</v>
      </c>
      <c r="AE37" s="592">
        <v>0</v>
      </c>
      <c r="AF37" s="592">
        <v>0</v>
      </c>
      <c r="AG37" s="592">
        <v>0</v>
      </c>
      <c r="AH37" s="592">
        <v>0</v>
      </c>
      <c r="AI37" s="592">
        <v>0</v>
      </c>
      <c r="AJ37" s="460">
        <v>0</v>
      </c>
      <c r="AK37" s="460">
        <v>0</v>
      </c>
      <c r="AL37" s="460">
        <v>0</v>
      </c>
      <c r="AM37" s="460">
        <v>0</v>
      </c>
      <c r="AN37" s="460">
        <v>0</v>
      </c>
      <c r="AO37" s="460">
        <v>0</v>
      </c>
      <c r="AP37" s="460">
        <v>0</v>
      </c>
      <c r="AQ37" s="460">
        <v>0</v>
      </c>
      <c r="AR37" s="460">
        <v>0</v>
      </c>
      <c r="AS37" s="460">
        <v>0</v>
      </c>
      <c r="AT37" s="460">
        <v>0</v>
      </c>
      <c r="AU37" s="460">
        <v>0</v>
      </c>
      <c r="AV37" s="460">
        <v>0</v>
      </c>
      <c r="AW37" s="460">
        <v>0</v>
      </c>
      <c r="AX37" s="460">
        <v>0</v>
      </c>
      <c r="AY37" s="460">
        <v>0</v>
      </c>
      <c r="AZ37" s="460">
        <v>0</v>
      </c>
    </row>
    <row r="38" spans="1:52" x14ac:dyDescent="0.2">
      <c r="A38" s="588" t="s">
        <v>293</v>
      </c>
      <c r="B38" s="588" t="s">
        <v>228</v>
      </c>
      <c r="C38" s="588" t="s">
        <v>199</v>
      </c>
      <c r="D38" s="588">
        <v>12982940.987881901</v>
      </c>
      <c r="E38" s="588">
        <v>5257.0074798783698</v>
      </c>
      <c r="F38" s="589">
        <v>2.1574244679402601</v>
      </c>
      <c r="G38" s="589">
        <v>2.2471831629745802</v>
      </c>
      <c r="H38" s="588">
        <v>-354533.43398721598</v>
      </c>
      <c r="I38" s="588">
        <v>10499095.6152349</v>
      </c>
      <c r="J38" s="588">
        <v>4702163.3118553199</v>
      </c>
      <c r="K38" s="588">
        <v>4514345.9369014502</v>
      </c>
      <c r="L38" s="460">
        <v>757998.43782402202</v>
      </c>
      <c r="M38" s="460">
        <v>4052058.4432472899</v>
      </c>
      <c r="N38" s="460">
        <v>4810056.8810713198</v>
      </c>
      <c r="O38" s="588">
        <v>150680.99112149299</v>
      </c>
      <c r="P38" s="588">
        <v>48786.191004200198</v>
      </c>
      <c r="Q38" s="588">
        <v>86861.237017188294</v>
      </c>
      <c r="R38" s="588">
        <v>237247.72485436499</v>
      </c>
      <c r="S38" s="592">
        <v>0</v>
      </c>
      <c r="T38" s="592">
        <v>0</v>
      </c>
      <c r="U38" s="592">
        <v>234422.293826776</v>
      </c>
      <c r="V38" s="592">
        <v>0</v>
      </c>
      <c r="W38" s="592">
        <v>0</v>
      </c>
      <c r="X38" s="592">
        <v>0</v>
      </c>
      <c r="Y38" s="592">
        <v>1547700.6305788101</v>
      </c>
      <c r="Z38" s="592">
        <v>2504357.8126684902</v>
      </c>
      <c r="AA38" s="592">
        <v>0</v>
      </c>
      <c r="AB38" s="592">
        <v>0</v>
      </c>
      <c r="AC38" s="592">
        <v>3320830.9760461799</v>
      </c>
      <c r="AD38" s="592">
        <v>731227.46720111102</v>
      </c>
      <c r="AE38" s="592">
        <v>0</v>
      </c>
      <c r="AF38" s="592">
        <v>62509999.118602604</v>
      </c>
      <c r="AG38" s="592">
        <v>51611688.860679299</v>
      </c>
      <c r="AH38" s="592">
        <v>-397750.62241494301</v>
      </c>
      <c r="AI38" s="592">
        <v>-330438.96303229302</v>
      </c>
      <c r="AJ38" s="460">
        <v>0.20342476378899699</v>
      </c>
      <c r="AK38" s="460">
        <v>1.0729165554019999</v>
      </c>
      <c r="AL38" s="460">
        <v>9.4290561181597704E-2</v>
      </c>
      <c r="AM38" s="460">
        <v>7.9090727969296795E-2</v>
      </c>
      <c r="AN38" s="460">
        <v>9.0524336040202602E-2</v>
      </c>
      <c r="AO38" s="460">
        <v>7.5324502827901693E-2</v>
      </c>
      <c r="AP38" s="460">
        <v>0.240542445277412</v>
      </c>
      <c r="AQ38" s="460">
        <v>0.10913420260739901</v>
      </c>
      <c r="AR38" s="460">
        <v>0.1243340358197</v>
      </c>
      <c r="AS38" s="460">
        <v>0.112900427748794</v>
      </c>
      <c r="AT38" s="460">
        <v>0.128100260961095</v>
      </c>
      <c r="AU38" s="460">
        <v>0.57560294310837601</v>
      </c>
      <c r="AV38" s="460">
        <v>0.65577092457273101</v>
      </c>
      <c r="AW38" s="460">
        <v>0.59546702076691205</v>
      </c>
      <c r="AX38" s="460">
        <v>0.67563500223126705</v>
      </c>
      <c r="AY38" s="460">
        <v>-3.7117681488415002E-2</v>
      </c>
      <c r="AZ38" s="460">
        <v>-0.195768569299511</v>
      </c>
    </row>
    <row r="39" spans="1:52" x14ac:dyDescent="0.2">
      <c r="A39" s="588" t="s">
        <v>299</v>
      </c>
      <c r="B39" s="588" t="s">
        <v>229</v>
      </c>
      <c r="C39" s="588" t="s">
        <v>76</v>
      </c>
      <c r="D39" s="588">
        <v>0</v>
      </c>
      <c r="E39" s="588">
        <v>0</v>
      </c>
      <c r="F39" s="589">
        <v>0</v>
      </c>
      <c r="G39" s="589">
        <v>0</v>
      </c>
      <c r="H39" s="588">
        <v>0</v>
      </c>
      <c r="I39" s="588">
        <v>0</v>
      </c>
      <c r="J39" s="588">
        <v>2177723.7841495499</v>
      </c>
      <c r="K39" s="588">
        <v>2177723.7841495499</v>
      </c>
      <c r="L39" s="460">
        <v>2177723.7841495499</v>
      </c>
      <c r="M39" s="460">
        <v>0</v>
      </c>
      <c r="N39" s="460">
        <v>2177723.7841495499</v>
      </c>
      <c r="O39" s="588">
        <v>99483.180488377897</v>
      </c>
      <c r="P39" s="588">
        <v>53138.9963876357</v>
      </c>
      <c r="Q39" s="588">
        <v>47983.8831776312</v>
      </c>
      <c r="R39" s="588">
        <v>1977117.7240959101</v>
      </c>
      <c r="S39" s="592">
        <v>0</v>
      </c>
      <c r="T39" s="592">
        <v>0</v>
      </c>
      <c r="U39" s="592">
        <v>0</v>
      </c>
      <c r="V39" s="592">
        <v>0</v>
      </c>
      <c r="W39" s="592">
        <v>0</v>
      </c>
      <c r="X39" s="592">
        <v>0</v>
      </c>
      <c r="Y39" s="592">
        <v>0</v>
      </c>
      <c r="Z39" s="592">
        <v>0</v>
      </c>
      <c r="AA39" s="592">
        <v>0</v>
      </c>
      <c r="AB39" s="592">
        <v>0</v>
      </c>
      <c r="AC39" s="592">
        <v>0</v>
      </c>
      <c r="AD39" s="592">
        <v>0</v>
      </c>
      <c r="AE39" s="592">
        <v>0</v>
      </c>
      <c r="AF39" s="592">
        <v>0</v>
      </c>
      <c r="AG39" s="592">
        <v>0</v>
      </c>
      <c r="AH39" s="592">
        <v>0</v>
      </c>
      <c r="AI39" s="592">
        <v>0</v>
      </c>
      <c r="AJ39" s="460">
        <v>0</v>
      </c>
      <c r="AK39" s="460">
        <v>0</v>
      </c>
      <c r="AL39" s="460">
        <v>0</v>
      </c>
      <c r="AM39" s="460">
        <v>0</v>
      </c>
      <c r="AN39" s="460">
        <v>0</v>
      </c>
      <c r="AO39" s="460">
        <v>0</v>
      </c>
      <c r="AP39" s="460">
        <v>0</v>
      </c>
      <c r="AQ39" s="460">
        <v>0</v>
      </c>
      <c r="AR39" s="460">
        <v>0</v>
      </c>
      <c r="AS39" s="460">
        <v>0</v>
      </c>
      <c r="AT39" s="460">
        <v>0</v>
      </c>
      <c r="AU39" s="460">
        <v>0</v>
      </c>
      <c r="AV39" s="460">
        <v>0</v>
      </c>
      <c r="AW39" s="460">
        <v>0</v>
      </c>
      <c r="AX39" s="460">
        <v>0</v>
      </c>
      <c r="AY39" s="460">
        <v>0</v>
      </c>
      <c r="AZ39" s="460">
        <v>0</v>
      </c>
    </row>
    <row r="40" spans="1:52" x14ac:dyDescent="0.2">
      <c r="A40" s="588" t="s">
        <v>300</v>
      </c>
      <c r="B40" s="588" t="s">
        <v>229</v>
      </c>
      <c r="C40" s="588" t="s">
        <v>198</v>
      </c>
      <c r="D40" s="588">
        <v>46174712.962572403</v>
      </c>
      <c r="E40" s="588">
        <v>7412.01024954883</v>
      </c>
      <c r="F40" s="589">
        <v>2.5131552934496701</v>
      </c>
      <c r="G40" s="589">
        <v>4.7855933756703202</v>
      </c>
      <c r="H40" s="588">
        <v>0</v>
      </c>
      <c r="I40" s="588">
        <v>28401316.058855001</v>
      </c>
      <c r="J40" s="588">
        <v>11301058.924962001</v>
      </c>
      <c r="K40" s="588">
        <v>5934753.2958495095</v>
      </c>
      <c r="L40" s="460">
        <v>2560682.2968652998</v>
      </c>
      <c r="M40" s="460">
        <v>3639687.9902372402</v>
      </c>
      <c r="N40" s="460">
        <v>6200370.28710254</v>
      </c>
      <c r="O40" s="588">
        <v>259758.538596445</v>
      </c>
      <c r="P40" s="588">
        <v>48503.936320457004</v>
      </c>
      <c r="Q40" s="588">
        <v>83148.064733146603</v>
      </c>
      <c r="R40" s="588">
        <v>1965515.1943864799</v>
      </c>
      <c r="S40" s="592">
        <v>0</v>
      </c>
      <c r="T40" s="592">
        <v>0</v>
      </c>
      <c r="U40" s="592">
        <v>203756.562828772</v>
      </c>
      <c r="V40" s="592">
        <v>0</v>
      </c>
      <c r="W40" s="592">
        <v>0</v>
      </c>
      <c r="X40" s="592">
        <v>0</v>
      </c>
      <c r="Y40" s="592">
        <v>0</v>
      </c>
      <c r="Z40" s="592">
        <v>0</v>
      </c>
      <c r="AA40" s="592">
        <v>3639687.9902372402</v>
      </c>
      <c r="AB40" s="592">
        <v>0</v>
      </c>
      <c r="AC40" s="592">
        <v>10833730.5344494</v>
      </c>
      <c r="AD40" s="592">
        <v>0</v>
      </c>
      <c r="AE40" s="592">
        <v>5004625.6188042397</v>
      </c>
      <c r="AF40" s="592">
        <v>294318229.10850698</v>
      </c>
      <c r="AG40" s="592">
        <v>242408125.593393</v>
      </c>
      <c r="AH40" s="592">
        <v>0</v>
      </c>
      <c r="AI40" s="592">
        <v>0</v>
      </c>
      <c r="AJ40" s="460">
        <v>0.11716321797931099</v>
      </c>
      <c r="AK40" s="460">
        <v>0</v>
      </c>
      <c r="AL40" s="460">
        <v>4.7537758467268598E-2</v>
      </c>
      <c r="AM40" s="460">
        <v>3.6056450693230997E-2</v>
      </c>
      <c r="AN40" s="460">
        <v>2.54002760046808E-2</v>
      </c>
      <c r="AO40" s="460">
        <v>1.3918968230643199E-2</v>
      </c>
      <c r="AP40" s="460">
        <v>0.18353437302224801</v>
      </c>
      <c r="AQ40" s="460">
        <v>6.9625459512042603E-2</v>
      </c>
      <c r="AR40" s="460">
        <v>8.11067672860801E-2</v>
      </c>
      <c r="AS40" s="460">
        <v>9.1762941974630405E-2</v>
      </c>
      <c r="AT40" s="460">
        <v>0.103244249748668</v>
      </c>
      <c r="AU40" s="460">
        <v>0</v>
      </c>
      <c r="AV40" s="460">
        <v>0</v>
      </c>
      <c r="AW40" s="460">
        <v>0</v>
      </c>
      <c r="AX40" s="460">
        <v>0</v>
      </c>
      <c r="AY40" s="460">
        <v>-6.6371155042936905E-2</v>
      </c>
      <c r="AZ40" s="460">
        <v>0</v>
      </c>
    </row>
    <row r="41" spans="1:52" x14ac:dyDescent="0.2">
      <c r="A41" s="588" t="s">
        <v>303</v>
      </c>
      <c r="B41" s="588" t="s">
        <v>229</v>
      </c>
      <c r="C41" s="588" t="s">
        <v>15</v>
      </c>
      <c r="D41" s="588">
        <v>46463423.3319984</v>
      </c>
      <c r="E41" s="588">
        <v>7700.7003565847599</v>
      </c>
      <c r="F41" s="589">
        <v>2.9324771760416901</v>
      </c>
      <c r="G41" s="589">
        <v>3.8145276731581301</v>
      </c>
      <c r="H41" s="588">
        <v>-609194.88859808503</v>
      </c>
      <c r="I41" s="588">
        <v>30373340.482997101</v>
      </c>
      <c r="J41" s="588">
        <v>10149830.265542001</v>
      </c>
      <c r="K41" s="588">
        <v>7802839.0785684399</v>
      </c>
      <c r="L41" s="460">
        <v>3915190.9334932002</v>
      </c>
      <c r="M41" s="460">
        <v>4193695.47</v>
      </c>
      <c r="N41" s="460">
        <v>8108886.4034932004</v>
      </c>
      <c r="O41" s="588">
        <v>323616.01671107701</v>
      </c>
      <c r="P41" s="588">
        <v>18914.379795962599</v>
      </c>
      <c r="Q41" s="588">
        <v>170869.773014979</v>
      </c>
      <c r="R41" s="588">
        <v>2298370.6036659498</v>
      </c>
      <c r="S41" s="592">
        <v>0</v>
      </c>
      <c r="T41" s="592">
        <v>0</v>
      </c>
      <c r="U41" s="592">
        <v>1103420.16030524</v>
      </c>
      <c r="V41" s="592">
        <v>0</v>
      </c>
      <c r="W41" s="592">
        <v>0</v>
      </c>
      <c r="X41" s="592">
        <v>0</v>
      </c>
      <c r="Y41" s="592">
        <v>0</v>
      </c>
      <c r="Z41" s="592">
        <v>0</v>
      </c>
      <c r="AA41" s="592">
        <v>4193695.47</v>
      </c>
      <c r="AB41" s="592">
        <v>0</v>
      </c>
      <c r="AC41" s="592">
        <v>7581817.0037174998</v>
      </c>
      <c r="AD41" s="592">
        <v>0</v>
      </c>
      <c r="AE41" s="592">
        <v>1969090.43117435</v>
      </c>
      <c r="AF41" s="592">
        <v>358875235.72575402</v>
      </c>
      <c r="AG41" s="592">
        <v>236271437.57770601</v>
      </c>
      <c r="AH41" s="592">
        <v>-971271.00196699204</v>
      </c>
      <c r="AI41" s="592">
        <v>-643639.41897547594</v>
      </c>
      <c r="AJ41" s="460">
        <v>0.12855273914777701</v>
      </c>
      <c r="AK41" s="460">
        <v>0.94648474073850397</v>
      </c>
      <c r="AL41" s="460">
        <v>4.47984939361721E-2</v>
      </c>
      <c r="AM41" s="460">
        <v>2.69276993418604E-2</v>
      </c>
      <c r="AN41" s="460">
        <v>3.4661729052925597E-2</v>
      </c>
      <c r="AO41" s="460">
        <v>1.6790934458614001E-2</v>
      </c>
      <c r="AP41" s="460">
        <v>0.19480303518896799</v>
      </c>
      <c r="AQ41" s="460">
        <v>8.3754245211604905E-2</v>
      </c>
      <c r="AR41" s="460">
        <v>0.101625039805917</v>
      </c>
      <c r="AS41" s="460">
        <v>9.3891010094851401E-2</v>
      </c>
      <c r="AT41" s="460">
        <v>0.111761804689163</v>
      </c>
      <c r="AU41" s="460">
        <v>0.61665053261702496</v>
      </c>
      <c r="AV41" s="460">
        <v>0.748226370677889</v>
      </c>
      <c r="AW41" s="460">
        <v>0.69128366253748397</v>
      </c>
      <c r="AX41" s="460">
        <v>0.822859500598348</v>
      </c>
      <c r="AY41" s="460">
        <v>-6.6250296041191301E-2</v>
      </c>
      <c r="AZ41" s="460">
        <v>-0.48777563736169999</v>
      </c>
    </row>
    <row r="42" spans="1:52" x14ac:dyDescent="0.2">
      <c r="A42" s="588" t="s">
        <v>305</v>
      </c>
      <c r="B42" s="588" t="s">
        <v>229</v>
      </c>
      <c r="C42" s="588" t="s">
        <v>37</v>
      </c>
      <c r="D42" s="588">
        <v>45475941.168517597</v>
      </c>
      <c r="E42" s="588">
        <v>13209.6642743875</v>
      </c>
      <c r="F42" s="589">
        <v>1.12448944995504</v>
      </c>
      <c r="G42" s="589">
        <v>1.1705770726696001</v>
      </c>
      <c r="H42" s="588">
        <v>-197153.63801688101</v>
      </c>
      <c r="I42" s="588">
        <v>19754502.926149201</v>
      </c>
      <c r="J42" s="588">
        <v>17392203.447452798</v>
      </c>
      <c r="K42" s="588">
        <v>16707442.632145699</v>
      </c>
      <c r="L42" s="460">
        <v>3012226.32610142</v>
      </c>
      <c r="M42" s="460">
        <v>14773344.819305001</v>
      </c>
      <c r="N42" s="460">
        <v>17785571.1454065</v>
      </c>
      <c r="O42" s="588">
        <v>836614.34389153298</v>
      </c>
      <c r="P42" s="588">
        <v>333167.18227999</v>
      </c>
      <c r="Q42" s="588">
        <v>74348.269547918695</v>
      </c>
      <c r="R42" s="588">
        <v>1604779.0056884</v>
      </c>
      <c r="S42" s="592">
        <v>0</v>
      </c>
      <c r="T42" s="592">
        <v>0</v>
      </c>
      <c r="U42" s="592">
        <v>163317.52469358</v>
      </c>
      <c r="V42" s="592">
        <v>0</v>
      </c>
      <c r="W42" s="592">
        <v>0</v>
      </c>
      <c r="X42" s="592">
        <v>0</v>
      </c>
      <c r="Y42" s="592">
        <v>5665755.7089895299</v>
      </c>
      <c r="Z42" s="592">
        <v>9107589.1103154998</v>
      </c>
      <c r="AA42" s="592">
        <v>0</v>
      </c>
      <c r="AB42" s="592">
        <v>0</v>
      </c>
      <c r="AC42" s="592">
        <v>4904006.3104560003</v>
      </c>
      <c r="AD42" s="592">
        <v>9869338.50885709</v>
      </c>
      <c r="AE42" s="592">
        <v>4.8347659446645897E-6</v>
      </c>
      <c r="AF42" s="592">
        <v>281321755.65346402</v>
      </c>
      <c r="AG42" s="592">
        <v>179763379.32288399</v>
      </c>
      <c r="AH42" s="592">
        <v>-389955.64423408901</v>
      </c>
      <c r="AI42" s="592">
        <v>-205450.027312758</v>
      </c>
      <c r="AJ42" s="460">
        <v>0.109891697633626</v>
      </c>
      <c r="AK42" s="460">
        <v>0.95961845610637297</v>
      </c>
      <c r="AL42" s="460">
        <v>9.8975962376155802E-2</v>
      </c>
      <c r="AM42" s="460">
        <v>8.0800320867456102E-2</v>
      </c>
      <c r="AN42" s="460">
        <v>9.5128328049107994E-2</v>
      </c>
      <c r="AO42" s="460">
        <v>7.6952686540408405E-2</v>
      </c>
      <c r="AP42" s="460">
        <v>0.253045595023213</v>
      </c>
      <c r="AQ42" s="460">
        <v>1.09157352574704E-2</v>
      </c>
      <c r="AR42" s="460">
        <v>2.9091376766170001E-2</v>
      </c>
      <c r="AS42" s="460">
        <v>1.4763369584518101E-2</v>
      </c>
      <c r="AT42" s="460">
        <v>3.2939011093217702E-2</v>
      </c>
      <c r="AU42" s="460">
        <v>9.5320586000549004E-2</v>
      </c>
      <c r="AV42" s="460">
        <v>0.25403759027754502</v>
      </c>
      <c r="AW42" s="460">
        <v>0.12891967484976799</v>
      </c>
      <c r="AX42" s="460">
        <v>0.287636679126763</v>
      </c>
      <c r="AY42" s="460">
        <v>-0.143153897389587</v>
      </c>
      <c r="AZ42" s="460">
        <v>-1.2500773484874099</v>
      </c>
    </row>
    <row r="43" spans="1:52" x14ac:dyDescent="0.2">
      <c r="A43" s="588" t="s">
        <v>306</v>
      </c>
      <c r="B43" s="588" t="s">
        <v>229</v>
      </c>
      <c r="C43" s="588" t="s">
        <v>77</v>
      </c>
      <c r="D43" s="588">
        <v>0</v>
      </c>
      <c r="E43" s="588">
        <v>0</v>
      </c>
      <c r="F43" s="589">
        <v>0</v>
      </c>
      <c r="G43" s="589">
        <v>0</v>
      </c>
      <c r="H43" s="588">
        <v>0</v>
      </c>
      <c r="I43" s="588">
        <v>0</v>
      </c>
      <c r="J43" s="588">
        <v>439003.50600540702</v>
      </c>
      <c r="K43" s="588">
        <v>439003.50600540702</v>
      </c>
      <c r="L43" s="460">
        <v>439003.50600540702</v>
      </c>
      <c r="M43" s="460">
        <v>0</v>
      </c>
      <c r="N43" s="460">
        <v>439003.50600540702</v>
      </c>
      <c r="O43" s="588">
        <v>19304.372443197</v>
      </c>
      <c r="P43" s="588">
        <v>43624.872213768998</v>
      </c>
      <c r="Q43" s="588">
        <v>0</v>
      </c>
      <c r="R43" s="588">
        <v>376074.26134844101</v>
      </c>
      <c r="S43" s="592">
        <v>0</v>
      </c>
      <c r="T43" s="592">
        <v>0</v>
      </c>
      <c r="U43" s="592">
        <v>0</v>
      </c>
      <c r="V43" s="592">
        <v>0</v>
      </c>
      <c r="W43" s="592">
        <v>0</v>
      </c>
      <c r="X43" s="592">
        <v>0</v>
      </c>
      <c r="Y43" s="592">
        <v>0</v>
      </c>
      <c r="Z43" s="592">
        <v>0</v>
      </c>
      <c r="AA43" s="592">
        <v>0</v>
      </c>
      <c r="AB43" s="592">
        <v>0</v>
      </c>
      <c r="AC43" s="592">
        <v>0</v>
      </c>
      <c r="AD43" s="592">
        <v>0</v>
      </c>
      <c r="AE43" s="592">
        <v>0</v>
      </c>
      <c r="AF43" s="592">
        <v>0</v>
      </c>
      <c r="AG43" s="592">
        <v>0</v>
      </c>
      <c r="AH43" s="592">
        <v>0</v>
      </c>
      <c r="AI43" s="592">
        <v>0</v>
      </c>
      <c r="AJ43" s="460">
        <v>0</v>
      </c>
      <c r="AK43" s="460">
        <v>0</v>
      </c>
      <c r="AL43" s="460">
        <v>0</v>
      </c>
      <c r="AM43" s="460">
        <v>0</v>
      </c>
      <c r="AN43" s="460">
        <v>0</v>
      </c>
      <c r="AO43" s="460">
        <v>0</v>
      </c>
      <c r="AP43" s="460">
        <v>0</v>
      </c>
      <c r="AQ43" s="460">
        <v>0</v>
      </c>
      <c r="AR43" s="460">
        <v>0</v>
      </c>
      <c r="AS43" s="460">
        <v>0</v>
      </c>
      <c r="AT43" s="460">
        <v>0</v>
      </c>
      <c r="AU43" s="460">
        <v>0</v>
      </c>
      <c r="AV43" s="460">
        <v>0</v>
      </c>
      <c r="AW43" s="460">
        <v>0</v>
      </c>
      <c r="AX43" s="460">
        <v>0</v>
      </c>
      <c r="AY43" s="460">
        <v>0</v>
      </c>
      <c r="AZ43" s="460">
        <v>0</v>
      </c>
    </row>
    <row r="44" spans="1:52" x14ac:dyDescent="0.2">
      <c r="A44" s="588" t="s">
        <v>309</v>
      </c>
      <c r="B44" s="588" t="s">
        <v>229</v>
      </c>
      <c r="C44" s="588" t="s">
        <v>12</v>
      </c>
      <c r="D44" s="588">
        <v>20884282.811978702</v>
      </c>
      <c r="E44" s="588">
        <v>7379.0143203839998</v>
      </c>
      <c r="F44" s="589">
        <v>0.52734038197243205</v>
      </c>
      <c r="G44" s="589">
        <v>0.63178300473309701</v>
      </c>
      <c r="H44" s="588">
        <v>-21264.8104615667</v>
      </c>
      <c r="I44" s="588">
        <v>13988680.7326233</v>
      </c>
      <c r="J44" s="588">
        <v>26486528.2456064</v>
      </c>
      <c r="K44" s="588">
        <v>22107932.339937501</v>
      </c>
      <c r="L44" s="460">
        <v>11948538.9631982</v>
      </c>
      <c r="M44" s="460">
        <v>10959171.301536299</v>
      </c>
      <c r="N44" s="460">
        <v>22907710.264734499</v>
      </c>
      <c r="O44" s="588">
        <v>1292458.92058645</v>
      </c>
      <c r="P44" s="588">
        <v>116953.169503803</v>
      </c>
      <c r="Q44" s="588">
        <v>99030.195077394295</v>
      </c>
      <c r="R44" s="588">
        <v>10337654.966772299</v>
      </c>
      <c r="S44" s="592">
        <v>0</v>
      </c>
      <c r="T44" s="592">
        <v>0</v>
      </c>
      <c r="U44" s="592">
        <v>102441.71125828499</v>
      </c>
      <c r="V44" s="592">
        <v>0</v>
      </c>
      <c r="W44" s="592">
        <v>0</v>
      </c>
      <c r="X44" s="592">
        <v>0</v>
      </c>
      <c r="Y44" s="592">
        <v>0</v>
      </c>
      <c r="Z44" s="592">
        <v>0</v>
      </c>
      <c r="AA44" s="592">
        <v>2865819.4892573901</v>
      </c>
      <c r="AB44" s="592">
        <v>8093351.8122789096</v>
      </c>
      <c r="AC44" s="592">
        <v>13059432.7155519</v>
      </c>
      <c r="AD44" s="592">
        <v>1991435.81450387</v>
      </c>
      <c r="AE44" s="592">
        <v>3303899.8504065098</v>
      </c>
      <c r="AF44" s="592">
        <v>122216191.73811901</v>
      </c>
      <c r="AG44" s="592">
        <v>99238649.887580395</v>
      </c>
      <c r="AH44" s="592">
        <v>-6536.4488651403099</v>
      </c>
      <c r="AI44" s="592">
        <v>-19179.518637642901</v>
      </c>
      <c r="AJ44" s="460">
        <v>0.140960006494143</v>
      </c>
      <c r="AK44" s="460">
        <v>1.1087249301362101</v>
      </c>
      <c r="AL44" s="460">
        <v>0.26730364544984098</v>
      </c>
      <c r="AM44" s="460">
        <v>0.14671826736458099</v>
      </c>
      <c r="AN44" s="460">
        <v>0.223114590671353</v>
      </c>
      <c r="AO44" s="460">
        <v>0.102529212586094</v>
      </c>
      <c r="AP44" s="460">
        <v>0.38173181746287099</v>
      </c>
      <c r="AQ44" s="460">
        <v>-0.126343638955698</v>
      </c>
      <c r="AR44" s="460">
        <v>-5.7582608704387604E-3</v>
      </c>
      <c r="AS44" s="460">
        <v>-8.2154584177210804E-2</v>
      </c>
      <c r="AT44" s="460">
        <v>3.8430793908048301E-2</v>
      </c>
      <c r="AU44" s="460">
        <v>-0.99375947659414898</v>
      </c>
      <c r="AV44" s="460">
        <v>-4.5291764239223202E-2</v>
      </c>
      <c r="AW44" s="460">
        <v>-0.646189212583824</v>
      </c>
      <c r="AX44" s="460">
        <v>0.302278499771099</v>
      </c>
      <c r="AY44" s="460">
        <v>-0.24077181096872899</v>
      </c>
      <c r="AZ44" s="460">
        <v>-1.8937975099070901</v>
      </c>
    </row>
    <row r="45" spans="1:52" x14ac:dyDescent="0.2">
      <c r="A45" s="588" t="s">
        <v>310</v>
      </c>
      <c r="B45" s="588" t="s">
        <v>229</v>
      </c>
      <c r="C45" s="588" t="s">
        <v>14</v>
      </c>
      <c r="D45" s="588">
        <v>90727553.539701506</v>
      </c>
      <c r="E45" s="588">
        <v>4752.2011577988796</v>
      </c>
      <c r="F45" s="589">
        <v>2.8358167527592499</v>
      </c>
      <c r="G45" s="589">
        <v>3.9788276573569799</v>
      </c>
      <c r="H45" s="588">
        <v>0</v>
      </c>
      <c r="I45" s="588">
        <v>45994190.330083802</v>
      </c>
      <c r="J45" s="588">
        <v>16219027.652379701</v>
      </c>
      <c r="K45" s="588">
        <v>11559734.2461011</v>
      </c>
      <c r="L45" s="460">
        <v>3070380.0057825898</v>
      </c>
      <c r="M45" s="460">
        <v>9157661.6741791293</v>
      </c>
      <c r="N45" s="460">
        <v>12228041.6799617</v>
      </c>
      <c r="O45" s="588">
        <v>400409.89442593401</v>
      </c>
      <c r="P45" s="588">
        <v>37925.344524230903</v>
      </c>
      <c r="Q45" s="588">
        <v>20360.776104002201</v>
      </c>
      <c r="R45" s="588">
        <v>2611683.9907284202</v>
      </c>
      <c r="S45" s="592">
        <v>0</v>
      </c>
      <c r="T45" s="592">
        <v>0</v>
      </c>
      <c r="U45" s="592">
        <v>0</v>
      </c>
      <c r="V45" s="592">
        <v>0</v>
      </c>
      <c r="W45" s="592">
        <v>0</v>
      </c>
      <c r="X45" s="592">
        <v>0</v>
      </c>
      <c r="Y45" s="592">
        <v>0</v>
      </c>
      <c r="Z45" s="592">
        <v>0</v>
      </c>
      <c r="AA45" s="592">
        <v>9157661.6741791293</v>
      </c>
      <c r="AB45" s="592">
        <v>0</v>
      </c>
      <c r="AC45" s="592">
        <v>16186237.7524735</v>
      </c>
      <c r="AD45" s="592">
        <v>0</v>
      </c>
      <c r="AE45" s="592">
        <v>4216775.0734773697</v>
      </c>
      <c r="AF45" s="592">
        <v>666496193.35998595</v>
      </c>
      <c r="AG45" s="592">
        <v>432985739.64549899</v>
      </c>
      <c r="AH45" s="592">
        <v>0</v>
      </c>
      <c r="AI45" s="592">
        <v>0</v>
      </c>
      <c r="AJ45" s="460">
        <v>0.10622564698722201</v>
      </c>
      <c r="AK45" s="460">
        <v>0</v>
      </c>
      <c r="AL45" s="460">
        <v>3.7458572343880898E-2</v>
      </c>
      <c r="AM45" s="460">
        <v>3.0367391908478099E-2</v>
      </c>
      <c r="AN45" s="460">
        <v>2.6697725092668202E-2</v>
      </c>
      <c r="AO45" s="460">
        <v>1.9606544657265301E-2</v>
      </c>
      <c r="AP45" s="460">
        <v>0.18774123342341401</v>
      </c>
      <c r="AQ45" s="460">
        <v>6.8767074643340795E-2</v>
      </c>
      <c r="AR45" s="460">
        <v>7.5858255078743705E-2</v>
      </c>
      <c r="AS45" s="460">
        <v>7.9527921894553502E-2</v>
      </c>
      <c r="AT45" s="460">
        <v>8.6619102329956399E-2</v>
      </c>
      <c r="AU45" s="460">
        <v>0</v>
      </c>
      <c r="AV45" s="460">
        <v>0</v>
      </c>
      <c r="AW45" s="460">
        <v>0</v>
      </c>
      <c r="AX45" s="460">
        <v>0</v>
      </c>
      <c r="AY45" s="460">
        <v>-8.1515586436192597E-2</v>
      </c>
      <c r="AZ45" s="460">
        <v>0</v>
      </c>
    </row>
    <row r="46" spans="1:52" x14ac:dyDescent="0.2">
      <c r="A46" s="588" t="s">
        <v>312</v>
      </c>
      <c r="B46" s="588" t="s">
        <v>229</v>
      </c>
      <c r="C46" s="588" t="s">
        <v>20</v>
      </c>
      <c r="D46" s="588">
        <v>21048951.177384999</v>
      </c>
      <c r="E46" s="588">
        <v>6457.8903958755</v>
      </c>
      <c r="F46" s="589">
        <v>0.83631874358889102</v>
      </c>
      <c r="G46" s="589">
        <v>1.2282454392368101</v>
      </c>
      <c r="H46" s="588">
        <v>-110054.141287076</v>
      </c>
      <c r="I46" s="588">
        <v>10531620.156074001</v>
      </c>
      <c r="J46" s="588">
        <v>12461236.932302799</v>
      </c>
      <c r="K46" s="588">
        <v>8484921.40240518</v>
      </c>
      <c r="L46" s="460">
        <v>1624832.25996546</v>
      </c>
      <c r="M46" s="460">
        <v>7400135.9400000004</v>
      </c>
      <c r="N46" s="460">
        <v>9024968.1999654602</v>
      </c>
      <c r="O46" s="588">
        <v>436744.06228875002</v>
      </c>
      <c r="P46" s="588">
        <v>86237.127663574298</v>
      </c>
      <c r="Q46" s="588">
        <v>67180.936367223301</v>
      </c>
      <c r="R46" s="588">
        <v>871352.60895233497</v>
      </c>
      <c r="S46" s="592">
        <v>0</v>
      </c>
      <c r="T46" s="592">
        <v>0</v>
      </c>
      <c r="U46" s="592">
        <v>163317.52469358</v>
      </c>
      <c r="V46" s="592">
        <v>0</v>
      </c>
      <c r="W46" s="592">
        <v>0</v>
      </c>
      <c r="X46" s="592">
        <v>0</v>
      </c>
      <c r="Y46" s="592">
        <v>0</v>
      </c>
      <c r="Z46" s="592">
        <v>0</v>
      </c>
      <c r="AA46" s="592">
        <v>0</v>
      </c>
      <c r="AB46" s="592">
        <v>7400135.9400000004</v>
      </c>
      <c r="AC46" s="592">
        <v>13239730.125165701</v>
      </c>
      <c r="AD46" s="592">
        <v>0</v>
      </c>
      <c r="AE46" s="592">
        <v>3627356.5110994298</v>
      </c>
      <c r="AF46" s="592">
        <v>137407113.04345</v>
      </c>
      <c r="AG46" s="592">
        <v>91575247.838228598</v>
      </c>
      <c r="AH46" s="592">
        <v>-177095.439339581</v>
      </c>
      <c r="AI46" s="592">
        <v>-118103.93314056699</v>
      </c>
      <c r="AJ46" s="460">
        <v>0.115005095860385</v>
      </c>
      <c r="AK46" s="460">
        <v>0.93184145828649101</v>
      </c>
      <c r="AL46" s="460">
        <v>0.13751347406954501</v>
      </c>
      <c r="AM46" s="460">
        <v>0.11958296443699699</v>
      </c>
      <c r="AN46" s="460">
        <v>9.3633643721767704E-2</v>
      </c>
      <c r="AO46" s="460">
        <v>7.5703134089219498E-2</v>
      </c>
      <c r="AP46" s="460">
        <v>0.250643864518799</v>
      </c>
      <c r="AQ46" s="460">
        <v>-2.2508378209159501E-2</v>
      </c>
      <c r="AR46" s="460">
        <v>-4.5778685766112602E-3</v>
      </c>
      <c r="AS46" s="460">
        <v>2.1371452138617599E-2</v>
      </c>
      <c r="AT46" s="460">
        <v>3.9301961771165801E-2</v>
      </c>
      <c r="AU46" s="460">
        <v>-0.182376613985438</v>
      </c>
      <c r="AV46" s="460">
        <v>-3.7092684444632297E-2</v>
      </c>
      <c r="AW46" s="460">
        <v>0.17316454525393599</v>
      </c>
      <c r="AX46" s="460">
        <v>0.31844847479474098</v>
      </c>
      <c r="AY46" s="460">
        <v>-0.13563876865841401</v>
      </c>
      <c r="AZ46" s="460">
        <v>-1.0990280651588</v>
      </c>
    </row>
    <row r="47" spans="1:52" x14ac:dyDescent="0.2">
      <c r="A47" s="588" t="s">
        <v>317</v>
      </c>
      <c r="B47" s="588" t="s">
        <v>233</v>
      </c>
      <c r="C47" s="588" t="s">
        <v>78</v>
      </c>
      <c r="D47" s="588">
        <v>0</v>
      </c>
      <c r="E47" s="588">
        <v>0</v>
      </c>
      <c r="F47" s="589">
        <v>0</v>
      </c>
      <c r="G47" s="589">
        <v>0</v>
      </c>
      <c r="H47" s="588">
        <v>0</v>
      </c>
      <c r="I47" s="588">
        <v>0</v>
      </c>
      <c r="J47" s="588">
        <v>788435.69343616895</v>
      </c>
      <c r="K47" s="588">
        <v>788435.69343616895</v>
      </c>
      <c r="L47" s="460">
        <v>788435.69343616895</v>
      </c>
      <c r="M47" s="460">
        <v>0</v>
      </c>
      <c r="N47" s="460">
        <v>788435.69343616895</v>
      </c>
      <c r="O47" s="588">
        <v>36755.060896875802</v>
      </c>
      <c r="P47" s="588">
        <v>25720.6332320658</v>
      </c>
      <c r="Q47" s="588">
        <v>0</v>
      </c>
      <c r="R47" s="588">
        <v>725959.99930722697</v>
      </c>
      <c r="S47" s="592">
        <v>0</v>
      </c>
      <c r="T47" s="592">
        <v>0</v>
      </c>
      <c r="U47" s="592">
        <v>0</v>
      </c>
      <c r="V47" s="592">
        <v>0</v>
      </c>
      <c r="W47" s="592">
        <v>0</v>
      </c>
      <c r="X47" s="592">
        <v>0</v>
      </c>
      <c r="Y47" s="592">
        <v>0</v>
      </c>
      <c r="Z47" s="592">
        <v>0</v>
      </c>
      <c r="AA47" s="592">
        <v>0</v>
      </c>
      <c r="AB47" s="592">
        <v>0</v>
      </c>
      <c r="AC47" s="592">
        <v>0</v>
      </c>
      <c r="AD47" s="592">
        <v>0</v>
      </c>
      <c r="AE47" s="592">
        <v>0</v>
      </c>
      <c r="AF47" s="592">
        <v>0</v>
      </c>
      <c r="AG47" s="592">
        <v>0</v>
      </c>
      <c r="AH47" s="592">
        <v>0</v>
      </c>
      <c r="AI47" s="592">
        <v>0</v>
      </c>
      <c r="AJ47" s="460">
        <v>0</v>
      </c>
      <c r="AK47" s="460">
        <v>0</v>
      </c>
      <c r="AL47" s="460">
        <v>0</v>
      </c>
      <c r="AM47" s="460">
        <v>0</v>
      </c>
      <c r="AN47" s="460">
        <v>0</v>
      </c>
      <c r="AO47" s="460">
        <v>0</v>
      </c>
      <c r="AP47" s="460">
        <v>0</v>
      </c>
      <c r="AQ47" s="460">
        <v>0</v>
      </c>
      <c r="AR47" s="460">
        <v>0</v>
      </c>
      <c r="AS47" s="460">
        <v>0</v>
      </c>
      <c r="AT47" s="460">
        <v>0</v>
      </c>
      <c r="AU47" s="460">
        <v>0</v>
      </c>
      <c r="AV47" s="460">
        <v>0</v>
      </c>
      <c r="AW47" s="460">
        <v>0</v>
      </c>
      <c r="AX47" s="460">
        <v>0</v>
      </c>
      <c r="AY47" s="460">
        <v>0</v>
      </c>
      <c r="AZ47" s="460">
        <v>0</v>
      </c>
    </row>
    <row r="48" spans="1:52" x14ac:dyDescent="0.2">
      <c r="A48" s="588" t="s">
        <v>318</v>
      </c>
      <c r="B48" s="588" t="s">
        <v>233</v>
      </c>
      <c r="C48" s="588" t="s">
        <v>16</v>
      </c>
      <c r="D48" s="588">
        <v>16082363.850080499</v>
      </c>
      <c r="E48" s="588">
        <v>2232.3723205236602</v>
      </c>
      <c r="F48" s="589">
        <v>1.05460650391146</v>
      </c>
      <c r="G48" s="589">
        <v>2.2336216261617299</v>
      </c>
      <c r="H48" s="588">
        <v>0</v>
      </c>
      <c r="I48" s="588">
        <v>7749479.7070490196</v>
      </c>
      <c r="J48" s="588">
        <v>7348219.1493289098</v>
      </c>
      <c r="K48" s="588">
        <v>3469468.4257538202</v>
      </c>
      <c r="L48" s="460">
        <v>1968475.38496983</v>
      </c>
      <c r="M48" s="460">
        <v>1619155.71593363</v>
      </c>
      <c r="N48" s="460">
        <v>3587631.1009034598</v>
      </c>
      <c r="O48" s="588">
        <v>158921.64188605899</v>
      </c>
      <c r="P48" s="588">
        <v>20971.6574086408</v>
      </c>
      <c r="Q48" s="588">
        <v>40777.5681711906</v>
      </c>
      <c r="R48" s="588">
        <v>1622541.97071377</v>
      </c>
      <c r="S48" s="592">
        <v>0</v>
      </c>
      <c r="T48" s="592">
        <v>0</v>
      </c>
      <c r="U48" s="592">
        <v>125262.546790169</v>
      </c>
      <c r="V48" s="592">
        <v>0</v>
      </c>
      <c r="W48" s="592">
        <v>0</v>
      </c>
      <c r="X48" s="592">
        <v>0</v>
      </c>
      <c r="Y48" s="592">
        <v>0</v>
      </c>
      <c r="Z48" s="592">
        <v>0</v>
      </c>
      <c r="AA48" s="592">
        <v>1619155.71593363</v>
      </c>
      <c r="AB48" s="592">
        <v>0</v>
      </c>
      <c r="AC48" s="592">
        <v>7279723.6363405297</v>
      </c>
      <c r="AD48" s="592">
        <v>0</v>
      </c>
      <c r="AE48" s="592">
        <v>3793140.4689640198</v>
      </c>
      <c r="AF48" s="592">
        <v>102769680.937849</v>
      </c>
      <c r="AG48" s="592">
        <v>74790527.134209499</v>
      </c>
      <c r="AH48" s="592">
        <v>0</v>
      </c>
      <c r="AI48" s="592">
        <v>0</v>
      </c>
      <c r="AJ48" s="460">
        <v>0.10361579205268601</v>
      </c>
      <c r="AK48" s="460">
        <v>0</v>
      </c>
      <c r="AL48" s="460">
        <v>9.8250666640479004E-2</v>
      </c>
      <c r="AM48" s="460">
        <v>7.1930817584762899E-2</v>
      </c>
      <c r="AN48" s="460">
        <v>4.6389142565180203E-2</v>
      </c>
      <c r="AO48" s="460">
        <v>2.0069293509464101E-2</v>
      </c>
      <c r="AP48" s="460">
        <v>0.20445434098825299</v>
      </c>
      <c r="AQ48" s="460">
        <v>5.3651254122070698E-3</v>
      </c>
      <c r="AR48" s="460">
        <v>3.1684974467923198E-2</v>
      </c>
      <c r="AS48" s="460">
        <v>5.7226649487505797E-2</v>
      </c>
      <c r="AT48" s="460">
        <v>8.3546498543221895E-2</v>
      </c>
      <c r="AU48" s="460">
        <v>0</v>
      </c>
      <c r="AV48" s="460">
        <v>0</v>
      </c>
      <c r="AW48" s="460">
        <v>0</v>
      </c>
      <c r="AX48" s="460">
        <v>0</v>
      </c>
      <c r="AY48" s="460">
        <v>-0.100838548935567</v>
      </c>
      <c r="AZ48" s="460">
        <v>0</v>
      </c>
    </row>
    <row r="49" spans="1:52" x14ac:dyDescent="0.2">
      <c r="A49" s="588" t="s">
        <v>319</v>
      </c>
      <c r="B49" s="588" t="s">
        <v>233</v>
      </c>
      <c r="C49" s="588" t="s">
        <v>17</v>
      </c>
      <c r="D49" s="588">
        <v>441865.27081710898</v>
      </c>
      <c r="E49" s="588">
        <v>121.71882293500001</v>
      </c>
      <c r="F49" s="589">
        <v>0.22917559008346799</v>
      </c>
      <c r="G49" s="589">
        <v>0.242929659321902</v>
      </c>
      <c r="H49" s="588">
        <v>-5750.6485692630004</v>
      </c>
      <c r="I49" s="588">
        <v>286610.40242498898</v>
      </c>
      <c r="J49" s="588">
        <v>1225522.1149575</v>
      </c>
      <c r="K49" s="588">
        <v>1156136.1203885099</v>
      </c>
      <c r="L49" s="460">
        <v>1098150.4669816601</v>
      </c>
      <c r="M49" s="460">
        <v>62550.457999999999</v>
      </c>
      <c r="N49" s="460">
        <v>1160700.92498166</v>
      </c>
      <c r="O49" s="588">
        <v>59658.009564980202</v>
      </c>
      <c r="P49" s="588">
        <v>10167.4558909802</v>
      </c>
      <c r="Q49" s="588">
        <v>6082.8416608958296</v>
      </c>
      <c r="R49" s="588">
        <v>815927.37691628397</v>
      </c>
      <c r="S49" s="592">
        <v>0</v>
      </c>
      <c r="T49" s="592">
        <v>0</v>
      </c>
      <c r="U49" s="592">
        <v>206314.78294851401</v>
      </c>
      <c r="V49" s="592">
        <v>0</v>
      </c>
      <c r="W49" s="592">
        <v>0</v>
      </c>
      <c r="X49" s="592">
        <v>0</v>
      </c>
      <c r="Y49" s="592">
        <v>0</v>
      </c>
      <c r="Z49" s="592">
        <v>0</v>
      </c>
      <c r="AA49" s="592">
        <v>62550.457999999999</v>
      </c>
      <c r="AB49" s="592">
        <v>0</v>
      </c>
      <c r="AC49" s="592">
        <v>171260.90674999999</v>
      </c>
      <c r="AD49" s="592">
        <v>0</v>
      </c>
      <c r="AE49" s="592">
        <v>66285.222881950904</v>
      </c>
      <c r="AF49" s="592">
        <v>3433672.5192134101</v>
      </c>
      <c r="AG49" s="592">
        <v>2315413.5587607399</v>
      </c>
      <c r="AH49" s="592">
        <v>-8347.9705487660995</v>
      </c>
      <c r="AI49" s="592">
        <v>-5559.4170182685702</v>
      </c>
      <c r="AJ49" s="460">
        <v>0.123783676285626</v>
      </c>
      <c r="AK49" s="460">
        <v>1.03439777055149</v>
      </c>
      <c r="AL49" s="460">
        <v>0.54012591934656995</v>
      </c>
      <c r="AM49" s="460">
        <v>5.61366682999664E-2</v>
      </c>
      <c r="AN49" s="460">
        <v>0.50954534177155497</v>
      </c>
      <c r="AO49" s="460">
        <v>2.5556090724950901E-2</v>
      </c>
      <c r="AP49" s="460">
        <v>0.67002787268258601</v>
      </c>
      <c r="AQ49" s="460">
        <v>-0.41634224306094397</v>
      </c>
      <c r="AR49" s="460">
        <v>6.7647007985659605E-2</v>
      </c>
      <c r="AS49" s="460">
        <v>-0.385761665485928</v>
      </c>
      <c r="AT49" s="460">
        <v>9.8227585560675096E-2</v>
      </c>
      <c r="AU49" s="460">
        <v>-3.4791622040284902</v>
      </c>
      <c r="AV49" s="460">
        <v>0.56529193787541498</v>
      </c>
      <c r="AW49" s="460">
        <v>-3.2236157360694899</v>
      </c>
      <c r="AX49" s="460">
        <v>0.82083840583442302</v>
      </c>
      <c r="AY49" s="460">
        <v>-0.54624419639695998</v>
      </c>
      <c r="AZ49" s="460">
        <v>-4.5646873310331602</v>
      </c>
    </row>
    <row r="50" spans="1:52" x14ac:dyDescent="0.2">
      <c r="A50" s="588" t="s">
        <v>320</v>
      </c>
      <c r="B50" s="588" t="s">
        <v>233</v>
      </c>
      <c r="C50" s="588" t="s">
        <v>79</v>
      </c>
      <c r="D50" s="588">
        <v>0</v>
      </c>
      <c r="E50" s="588">
        <v>0</v>
      </c>
      <c r="F50" s="589">
        <v>0</v>
      </c>
      <c r="G50" s="589">
        <v>0</v>
      </c>
      <c r="H50" s="588">
        <v>0</v>
      </c>
      <c r="I50" s="588">
        <v>0</v>
      </c>
      <c r="J50" s="588">
        <v>351964.95938107697</v>
      </c>
      <c r="K50" s="588">
        <v>351964.95938107697</v>
      </c>
      <c r="L50" s="460">
        <v>351964.95938107697</v>
      </c>
      <c r="M50" s="460">
        <v>0</v>
      </c>
      <c r="N50" s="460">
        <v>351964.95938107697</v>
      </c>
      <c r="O50" s="588">
        <v>16407.797900724101</v>
      </c>
      <c r="P50" s="588">
        <v>34075.104388558902</v>
      </c>
      <c r="Q50" s="588">
        <v>0</v>
      </c>
      <c r="R50" s="588">
        <v>301482.05709179398</v>
      </c>
      <c r="S50" s="592">
        <v>0</v>
      </c>
      <c r="T50" s="592">
        <v>0</v>
      </c>
      <c r="U50" s="592">
        <v>0</v>
      </c>
      <c r="V50" s="592">
        <v>0</v>
      </c>
      <c r="W50" s="592">
        <v>0</v>
      </c>
      <c r="X50" s="592">
        <v>0</v>
      </c>
      <c r="Y50" s="592">
        <v>0</v>
      </c>
      <c r="Z50" s="592">
        <v>0</v>
      </c>
      <c r="AA50" s="592">
        <v>0</v>
      </c>
      <c r="AB50" s="592">
        <v>0</v>
      </c>
      <c r="AC50" s="592">
        <v>0</v>
      </c>
      <c r="AD50" s="592">
        <v>0</v>
      </c>
      <c r="AE50" s="592">
        <v>0</v>
      </c>
      <c r="AF50" s="592">
        <v>0</v>
      </c>
      <c r="AG50" s="592">
        <v>0</v>
      </c>
      <c r="AH50" s="592">
        <v>0</v>
      </c>
      <c r="AI50" s="592">
        <v>0</v>
      </c>
      <c r="AJ50" s="460">
        <v>0</v>
      </c>
      <c r="AK50" s="460">
        <v>0</v>
      </c>
      <c r="AL50" s="460">
        <v>0</v>
      </c>
      <c r="AM50" s="460">
        <v>0</v>
      </c>
      <c r="AN50" s="460">
        <v>0</v>
      </c>
      <c r="AO50" s="460">
        <v>0</v>
      </c>
      <c r="AP50" s="460">
        <v>0</v>
      </c>
      <c r="AQ50" s="460">
        <v>0</v>
      </c>
      <c r="AR50" s="460">
        <v>0</v>
      </c>
      <c r="AS50" s="460">
        <v>0</v>
      </c>
      <c r="AT50" s="460">
        <v>0</v>
      </c>
      <c r="AU50" s="460">
        <v>0</v>
      </c>
      <c r="AV50" s="460">
        <v>0</v>
      </c>
      <c r="AW50" s="460">
        <v>0</v>
      </c>
      <c r="AX50" s="460">
        <v>0</v>
      </c>
      <c r="AY50" s="460">
        <v>0</v>
      </c>
      <c r="AZ50" s="460">
        <v>0</v>
      </c>
    </row>
    <row r="51" spans="1:52" x14ac:dyDescent="0.2">
      <c r="A51" s="588" t="s">
        <v>324</v>
      </c>
      <c r="B51" s="588" t="s">
        <v>230</v>
      </c>
      <c r="C51" s="588" t="s">
        <v>80</v>
      </c>
      <c r="D51" s="588">
        <v>0</v>
      </c>
      <c r="E51" s="588">
        <v>0</v>
      </c>
      <c r="F51" s="589">
        <v>0</v>
      </c>
      <c r="G51" s="589">
        <v>0</v>
      </c>
      <c r="H51" s="588">
        <v>0</v>
      </c>
      <c r="I51" s="588">
        <v>0</v>
      </c>
      <c r="J51" s="588">
        <v>1974687.6417922601</v>
      </c>
      <c r="K51" s="588">
        <v>1974687.6417922601</v>
      </c>
      <c r="L51" s="460">
        <v>1974687.6417922601</v>
      </c>
      <c r="M51" s="460">
        <v>0</v>
      </c>
      <c r="N51" s="460">
        <v>1974687.6417922601</v>
      </c>
      <c r="O51" s="588">
        <v>96857.025163262297</v>
      </c>
      <c r="P51" s="588">
        <v>41307.847841868497</v>
      </c>
      <c r="Q51" s="588">
        <v>0</v>
      </c>
      <c r="R51" s="588">
        <v>1836522.76878713</v>
      </c>
      <c r="S51" s="592">
        <v>0</v>
      </c>
      <c r="T51" s="592">
        <v>0</v>
      </c>
      <c r="U51" s="592">
        <v>0</v>
      </c>
      <c r="V51" s="592">
        <v>0</v>
      </c>
      <c r="W51" s="592">
        <v>0</v>
      </c>
      <c r="X51" s="592">
        <v>0</v>
      </c>
      <c r="Y51" s="592">
        <v>0</v>
      </c>
      <c r="Z51" s="592">
        <v>0</v>
      </c>
      <c r="AA51" s="592">
        <v>0</v>
      </c>
      <c r="AB51" s="592">
        <v>0</v>
      </c>
      <c r="AC51" s="592">
        <v>0</v>
      </c>
      <c r="AD51" s="592">
        <v>0</v>
      </c>
      <c r="AE51" s="592">
        <v>0</v>
      </c>
      <c r="AF51" s="592">
        <v>0</v>
      </c>
      <c r="AG51" s="592">
        <v>0</v>
      </c>
      <c r="AH51" s="592">
        <v>0</v>
      </c>
      <c r="AI51" s="592">
        <v>0</v>
      </c>
      <c r="AJ51" s="460">
        <v>0</v>
      </c>
      <c r="AK51" s="460">
        <v>0</v>
      </c>
      <c r="AL51" s="460">
        <v>0</v>
      </c>
      <c r="AM51" s="460">
        <v>0</v>
      </c>
      <c r="AN51" s="460">
        <v>0</v>
      </c>
      <c r="AO51" s="460">
        <v>0</v>
      </c>
      <c r="AP51" s="460">
        <v>0</v>
      </c>
      <c r="AQ51" s="460">
        <v>0</v>
      </c>
      <c r="AR51" s="460">
        <v>0</v>
      </c>
      <c r="AS51" s="460">
        <v>0</v>
      </c>
      <c r="AT51" s="460">
        <v>0</v>
      </c>
      <c r="AU51" s="460">
        <v>0</v>
      </c>
      <c r="AV51" s="460">
        <v>0</v>
      </c>
      <c r="AW51" s="460">
        <v>0</v>
      </c>
      <c r="AX51" s="460">
        <v>0</v>
      </c>
      <c r="AY51" s="460">
        <v>0</v>
      </c>
      <c r="AZ51" s="460">
        <v>0</v>
      </c>
    </row>
    <row r="52" spans="1:52" x14ac:dyDescent="0.2">
      <c r="A52" s="588" t="s">
        <v>325</v>
      </c>
      <c r="B52" s="588" t="s">
        <v>230</v>
      </c>
      <c r="C52" s="588" t="s">
        <v>18</v>
      </c>
      <c r="D52" s="588">
        <v>2080233.4372268701</v>
      </c>
      <c r="E52" s="588">
        <v>480.21815559671501</v>
      </c>
      <c r="F52" s="589">
        <v>0.42499076058669</v>
      </c>
      <c r="G52" s="589">
        <v>0.59460302325351799</v>
      </c>
      <c r="H52" s="588">
        <v>0</v>
      </c>
      <c r="I52" s="588">
        <v>536845.38973613398</v>
      </c>
      <c r="J52" s="588">
        <v>1263193.08446855</v>
      </c>
      <c r="K52" s="588">
        <v>902863.53876684199</v>
      </c>
      <c r="L52" s="460">
        <v>658882.54901354702</v>
      </c>
      <c r="M52" s="460">
        <v>263187.905209644</v>
      </c>
      <c r="N52" s="460">
        <v>922070.45422319102</v>
      </c>
      <c r="O52" s="588">
        <v>52276.812062301702</v>
      </c>
      <c r="P52" s="588">
        <v>18529.170799832202</v>
      </c>
      <c r="Q52" s="588">
        <v>7589.09974324821</v>
      </c>
      <c r="R52" s="588">
        <v>561241.35437115096</v>
      </c>
      <c r="S52" s="592">
        <v>0</v>
      </c>
      <c r="T52" s="592">
        <v>0</v>
      </c>
      <c r="U52" s="592">
        <v>19246.1120370139</v>
      </c>
      <c r="V52" s="592">
        <v>0</v>
      </c>
      <c r="W52" s="592">
        <v>0</v>
      </c>
      <c r="X52" s="592">
        <v>0</v>
      </c>
      <c r="Y52" s="592">
        <v>0</v>
      </c>
      <c r="Z52" s="592">
        <v>0</v>
      </c>
      <c r="AA52" s="592">
        <v>263187.905209644</v>
      </c>
      <c r="AB52" s="592">
        <v>0</v>
      </c>
      <c r="AC52" s="592">
        <v>840936.15058334603</v>
      </c>
      <c r="AD52" s="592">
        <v>0</v>
      </c>
      <c r="AE52" s="592">
        <v>346648.96099881298</v>
      </c>
      <c r="AF52" s="592">
        <v>8255331.6927379305</v>
      </c>
      <c r="AG52" s="592">
        <v>5808022.8921900699</v>
      </c>
      <c r="AH52" s="592">
        <v>0</v>
      </c>
      <c r="AI52" s="592">
        <v>0</v>
      </c>
      <c r="AJ52" s="460">
        <v>9.2431693142604396E-2</v>
      </c>
      <c r="AK52" s="460">
        <v>0</v>
      </c>
      <c r="AL52" s="460">
        <v>0.217491065017519</v>
      </c>
      <c r="AM52" s="460">
        <v>0.104047547103784</v>
      </c>
      <c r="AN52" s="460">
        <v>0.15545109851080399</v>
      </c>
      <c r="AO52" s="460">
        <v>4.2007580597068897E-2</v>
      </c>
      <c r="AP52" s="460">
        <v>0.30916912438614003</v>
      </c>
      <c r="AQ52" s="460">
        <v>-0.125059371874914</v>
      </c>
      <c r="AR52" s="460">
        <v>-1.16158539611793E-2</v>
      </c>
      <c r="AS52" s="460">
        <v>-6.3019405368199402E-2</v>
      </c>
      <c r="AT52" s="460">
        <v>5.0424112545535499E-2</v>
      </c>
      <c r="AU52" s="460">
        <v>0</v>
      </c>
      <c r="AV52" s="460">
        <v>0</v>
      </c>
      <c r="AW52" s="460">
        <v>0</v>
      </c>
      <c r="AX52" s="460">
        <v>0</v>
      </c>
      <c r="AY52" s="460">
        <v>-0.21673743124353601</v>
      </c>
      <c r="AZ52" s="460">
        <v>0</v>
      </c>
    </row>
    <row r="53" spans="1:52" x14ac:dyDescent="0.2">
      <c r="A53" s="588" t="s">
        <v>326</v>
      </c>
      <c r="B53" s="588" t="s">
        <v>230</v>
      </c>
      <c r="C53" s="588" t="s">
        <v>19</v>
      </c>
      <c r="D53" s="588">
        <v>0</v>
      </c>
      <c r="E53" s="588">
        <v>0</v>
      </c>
      <c r="F53" s="589">
        <v>0</v>
      </c>
      <c r="G53" s="589">
        <v>0</v>
      </c>
      <c r="H53" s="588">
        <v>0</v>
      </c>
      <c r="I53" s="588">
        <v>0</v>
      </c>
      <c r="J53" s="588">
        <v>215037.93166904501</v>
      </c>
      <c r="K53" s="588">
        <v>215037.93166904501</v>
      </c>
      <c r="L53" s="460">
        <v>215037.93166904501</v>
      </c>
      <c r="M53" s="460">
        <v>0</v>
      </c>
      <c r="N53" s="460">
        <v>215037.93166904501</v>
      </c>
      <c r="O53" s="588">
        <v>10004.9018386279</v>
      </c>
      <c r="P53" s="588">
        <v>8214.2414195695401</v>
      </c>
      <c r="Q53" s="588">
        <v>9836.4890921665901</v>
      </c>
      <c r="R53" s="588">
        <v>149452.383294431</v>
      </c>
      <c r="S53" s="592">
        <v>0</v>
      </c>
      <c r="T53" s="592">
        <v>0</v>
      </c>
      <c r="U53" s="592">
        <v>37529.916024250102</v>
      </c>
      <c r="V53" s="592">
        <v>0</v>
      </c>
      <c r="W53" s="592">
        <v>0</v>
      </c>
      <c r="X53" s="592">
        <v>0</v>
      </c>
      <c r="Y53" s="592">
        <v>0</v>
      </c>
      <c r="Z53" s="592">
        <v>0</v>
      </c>
      <c r="AA53" s="592">
        <v>0</v>
      </c>
      <c r="AB53" s="592">
        <v>0</v>
      </c>
      <c r="AC53" s="592">
        <v>0</v>
      </c>
      <c r="AD53" s="592">
        <v>0</v>
      </c>
      <c r="AE53" s="592">
        <v>0</v>
      </c>
      <c r="AF53" s="592">
        <v>0</v>
      </c>
      <c r="AG53" s="592">
        <v>0</v>
      </c>
      <c r="AH53" s="592">
        <v>0</v>
      </c>
      <c r="AI53" s="592">
        <v>0</v>
      </c>
      <c r="AJ53" s="460">
        <v>0</v>
      </c>
      <c r="AK53" s="460">
        <v>0</v>
      </c>
      <c r="AL53" s="460">
        <v>0</v>
      </c>
      <c r="AM53" s="460">
        <v>0</v>
      </c>
      <c r="AN53" s="460">
        <v>0</v>
      </c>
      <c r="AO53" s="460">
        <v>0</v>
      </c>
      <c r="AP53" s="460">
        <v>0</v>
      </c>
      <c r="AQ53" s="460">
        <v>0</v>
      </c>
      <c r="AR53" s="460">
        <v>0</v>
      </c>
      <c r="AS53" s="460">
        <v>0</v>
      </c>
      <c r="AT53" s="460">
        <v>0</v>
      </c>
      <c r="AU53" s="460">
        <v>0</v>
      </c>
      <c r="AV53" s="460">
        <v>0</v>
      </c>
      <c r="AW53" s="460">
        <v>0</v>
      </c>
      <c r="AX53" s="460">
        <v>0</v>
      </c>
      <c r="AY53" s="460">
        <v>0</v>
      </c>
      <c r="AZ53" s="460">
        <v>0</v>
      </c>
    </row>
    <row r="54" spans="1:52" x14ac:dyDescent="0.2">
      <c r="A54" s="588" t="s">
        <v>327</v>
      </c>
      <c r="B54" s="588" t="s">
        <v>230</v>
      </c>
      <c r="C54" s="588" t="s">
        <v>81</v>
      </c>
      <c r="D54" s="588">
        <v>0</v>
      </c>
      <c r="E54" s="588">
        <v>0</v>
      </c>
      <c r="F54" s="589">
        <v>0</v>
      </c>
      <c r="G54" s="589">
        <v>0</v>
      </c>
      <c r="H54" s="588">
        <v>0</v>
      </c>
      <c r="I54" s="588">
        <v>0</v>
      </c>
      <c r="J54" s="588">
        <v>69510.310213912104</v>
      </c>
      <c r="K54" s="588">
        <v>69510.310213912104</v>
      </c>
      <c r="L54" s="460">
        <v>69510.310213912104</v>
      </c>
      <c r="M54" s="460">
        <v>0</v>
      </c>
      <c r="N54" s="460">
        <v>69510.310213912104</v>
      </c>
      <c r="O54" s="588">
        <v>3240.4109886736201</v>
      </c>
      <c r="P54" s="588">
        <v>24426.1378150286</v>
      </c>
      <c r="Q54" s="588">
        <v>0</v>
      </c>
      <c r="R54" s="588">
        <v>41843.761410209903</v>
      </c>
      <c r="S54" s="592">
        <v>0</v>
      </c>
      <c r="T54" s="592">
        <v>0</v>
      </c>
      <c r="U54" s="592">
        <v>0</v>
      </c>
      <c r="V54" s="592">
        <v>0</v>
      </c>
      <c r="W54" s="592">
        <v>0</v>
      </c>
      <c r="X54" s="592">
        <v>0</v>
      </c>
      <c r="Y54" s="592">
        <v>0</v>
      </c>
      <c r="Z54" s="592">
        <v>0</v>
      </c>
      <c r="AA54" s="592">
        <v>0</v>
      </c>
      <c r="AB54" s="592">
        <v>0</v>
      </c>
      <c r="AC54" s="592">
        <v>0</v>
      </c>
      <c r="AD54" s="592">
        <v>0</v>
      </c>
      <c r="AE54" s="592">
        <v>0</v>
      </c>
      <c r="AF54" s="592">
        <v>0</v>
      </c>
      <c r="AG54" s="592">
        <v>0</v>
      </c>
      <c r="AH54" s="592">
        <v>0</v>
      </c>
      <c r="AI54" s="592">
        <v>0</v>
      </c>
      <c r="AJ54" s="460">
        <v>0</v>
      </c>
      <c r="AK54" s="460">
        <v>0</v>
      </c>
      <c r="AL54" s="460">
        <v>0</v>
      </c>
      <c r="AM54" s="460">
        <v>0</v>
      </c>
      <c r="AN54" s="460">
        <v>0</v>
      </c>
      <c r="AO54" s="460">
        <v>0</v>
      </c>
      <c r="AP54" s="460">
        <v>0</v>
      </c>
      <c r="AQ54" s="460">
        <v>0</v>
      </c>
      <c r="AR54" s="460">
        <v>0</v>
      </c>
      <c r="AS54" s="460">
        <v>0</v>
      </c>
      <c r="AT54" s="460">
        <v>0</v>
      </c>
      <c r="AU54" s="460">
        <v>0</v>
      </c>
      <c r="AV54" s="460">
        <v>0</v>
      </c>
      <c r="AW54" s="460">
        <v>0</v>
      </c>
      <c r="AX54" s="460">
        <v>0</v>
      </c>
      <c r="AY54" s="460">
        <v>0</v>
      </c>
      <c r="AZ54" s="460">
        <v>0</v>
      </c>
    </row>
    <row r="55" spans="1:52" x14ac:dyDescent="0.2">
      <c r="A55" s="588" t="s">
        <v>332</v>
      </c>
      <c r="B55" s="588" t="s">
        <v>228</v>
      </c>
      <c r="C55" s="588" t="s">
        <v>71</v>
      </c>
      <c r="D55" s="588">
        <v>0</v>
      </c>
      <c r="E55" s="588">
        <v>0</v>
      </c>
      <c r="F55" s="589">
        <v>0</v>
      </c>
      <c r="G55" s="589">
        <v>0</v>
      </c>
      <c r="H55" s="588">
        <v>0</v>
      </c>
      <c r="I55" s="588">
        <v>0</v>
      </c>
      <c r="J55" s="588">
        <v>77048.003248331996</v>
      </c>
      <c r="K55" s="588">
        <v>77048.003248331996</v>
      </c>
      <c r="L55" s="460">
        <v>77048.003248331996</v>
      </c>
      <c r="M55" s="460">
        <v>0</v>
      </c>
      <c r="N55" s="460">
        <v>77048.003248331996</v>
      </c>
      <c r="O55" s="588">
        <v>3384.9485724664401</v>
      </c>
      <c r="P55" s="588">
        <v>73663.054675865598</v>
      </c>
      <c r="Q55" s="588">
        <v>0</v>
      </c>
      <c r="R55" s="588">
        <v>0</v>
      </c>
      <c r="S55" s="592">
        <v>0</v>
      </c>
      <c r="T55" s="592">
        <v>0</v>
      </c>
      <c r="U55" s="592">
        <v>0</v>
      </c>
      <c r="V55" s="592">
        <v>0</v>
      </c>
      <c r="W55" s="592">
        <v>0</v>
      </c>
      <c r="X55" s="592">
        <v>0</v>
      </c>
      <c r="Y55" s="592">
        <v>0</v>
      </c>
      <c r="Z55" s="592">
        <v>0</v>
      </c>
      <c r="AA55" s="592">
        <v>0</v>
      </c>
      <c r="AB55" s="592">
        <v>0</v>
      </c>
      <c r="AC55" s="592">
        <v>0</v>
      </c>
      <c r="AD55" s="592">
        <v>0</v>
      </c>
      <c r="AE55" s="592">
        <v>0</v>
      </c>
      <c r="AF55" s="592">
        <v>0</v>
      </c>
      <c r="AG55" s="592">
        <v>0</v>
      </c>
      <c r="AH55" s="592">
        <v>0</v>
      </c>
      <c r="AI55" s="592">
        <v>0</v>
      </c>
      <c r="AJ55" s="460">
        <v>0</v>
      </c>
      <c r="AK55" s="460">
        <v>0</v>
      </c>
      <c r="AL55" s="460">
        <v>0</v>
      </c>
      <c r="AM55" s="460">
        <v>0</v>
      </c>
      <c r="AN55" s="460">
        <v>0</v>
      </c>
      <c r="AO55" s="460">
        <v>0</v>
      </c>
      <c r="AP55" s="460">
        <v>0</v>
      </c>
      <c r="AQ55" s="460">
        <v>0</v>
      </c>
      <c r="AR55" s="460">
        <v>0</v>
      </c>
      <c r="AS55" s="460">
        <v>0</v>
      </c>
      <c r="AT55" s="460">
        <v>0</v>
      </c>
      <c r="AU55" s="460">
        <v>0</v>
      </c>
      <c r="AV55" s="460">
        <v>0</v>
      </c>
      <c r="AW55" s="460">
        <v>0</v>
      </c>
      <c r="AX55" s="460">
        <v>0</v>
      </c>
      <c r="AY55" s="460">
        <v>0</v>
      </c>
      <c r="AZ55" s="460">
        <v>0</v>
      </c>
    </row>
    <row r="56" spans="1:52" x14ac:dyDescent="0.2">
      <c r="A56" s="588" t="s">
        <v>335</v>
      </c>
      <c r="B56" s="588" t="s">
        <v>228</v>
      </c>
      <c r="C56" s="588" t="s">
        <v>5</v>
      </c>
      <c r="D56" s="588">
        <v>0</v>
      </c>
      <c r="E56" s="588">
        <v>0</v>
      </c>
      <c r="F56" s="589">
        <v>0</v>
      </c>
      <c r="G56" s="589">
        <v>0</v>
      </c>
      <c r="H56" s="588">
        <v>0</v>
      </c>
      <c r="I56" s="588">
        <v>0</v>
      </c>
      <c r="J56" s="588">
        <v>1029999.99999953</v>
      </c>
      <c r="K56" s="588">
        <v>1029999.99999953</v>
      </c>
      <c r="L56" s="460">
        <v>1029999.99999953</v>
      </c>
      <c r="M56" s="460">
        <v>0</v>
      </c>
      <c r="N56" s="460">
        <v>1029999.99999953</v>
      </c>
      <c r="O56" s="588">
        <v>0</v>
      </c>
      <c r="P56" s="588">
        <v>0</v>
      </c>
      <c r="Q56" s="588">
        <v>0</v>
      </c>
      <c r="R56" s="588">
        <v>1029999.99999953</v>
      </c>
      <c r="S56" s="592">
        <v>0</v>
      </c>
      <c r="T56" s="592">
        <v>0</v>
      </c>
      <c r="U56" s="592">
        <v>0</v>
      </c>
      <c r="V56" s="592">
        <v>0</v>
      </c>
      <c r="W56" s="592">
        <v>0</v>
      </c>
      <c r="X56" s="592">
        <v>0</v>
      </c>
      <c r="Y56" s="592">
        <v>0</v>
      </c>
      <c r="Z56" s="592">
        <v>0</v>
      </c>
      <c r="AA56" s="592">
        <v>0</v>
      </c>
      <c r="AB56" s="592">
        <v>0</v>
      </c>
      <c r="AC56" s="592">
        <v>0</v>
      </c>
      <c r="AD56" s="592">
        <v>0</v>
      </c>
      <c r="AE56" s="592">
        <v>0</v>
      </c>
      <c r="AF56" s="592">
        <v>0</v>
      </c>
      <c r="AG56" s="592">
        <v>0</v>
      </c>
      <c r="AH56" s="592">
        <v>0</v>
      </c>
      <c r="AI56" s="592">
        <v>0</v>
      </c>
      <c r="AJ56" s="460">
        <v>0</v>
      </c>
      <c r="AK56" s="460">
        <v>0</v>
      </c>
      <c r="AL56" s="460">
        <v>0</v>
      </c>
      <c r="AM56" s="460">
        <v>0</v>
      </c>
      <c r="AN56" s="460">
        <v>0</v>
      </c>
      <c r="AO56" s="460">
        <v>0</v>
      </c>
      <c r="AP56" s="460">
        <v>0</v>
      </c>
      <c r="AQ56" s="460">
        <v>0</v>
      </c>
      <c r="AR56" s="460">
        <v>0</v>
      </c>
      <c r="AS56" s="460">
        <v>0</v>
      </c>
      <c r="AT56" s="460">
        <v>0</v>
      </c>
      <c r="AU56" s="460">
        <v>0</v>
      </c>
      <c r="AV56" s="460">
        <v>0</v>
      </c>
      <c r="AW56" s="460">
        <v>0</v>
      </c>
      <c r="AX56" s="460">
        <v>0</v>
      </c>
      <c r="AY56" s="460">
        <v>0</v>
      </c>
      <c r="AZ56" s="460">
        <v>0</v>
      </c>
    </row>
    <row r="57" spans="1:52" x14ac:dyDescent="0.2">
      <c r="A57" s="588" t="s">
        <v>336</v>
      </c>
      <c r="B57" s="588" t="s">
        <v>229</v>
      </c>
      <c r="C57" s="588" t="s">
        <v>93</v>
      </c>
      <c r="D57" s="588">
        <v>0</v>
      </c>
      <c r="E57" s="588">
        <v>0</v>
      </c>
      <c r="F57" s="589">
        <v>0</v>
      </c>
      <c r="G57" s="589">
        <v>0</v>
      </c>
      <c r="H57" s="588">
        <v>0</v>
      </c>
      <c r="I57" s="588">
        <v>0</v>
      </c>
      <c r="J57" s="588">
        <v>148763.18354678099</v>
      </c>
      <c r="K57" s="588">
        <v>148763.18354678099</v>
      </c>
      <c r="L57" s="460">
        <v>148763.18354678099</v>
      </c>
      <c r="M57" s="460">
        <v>0</v>
      </c>
      <c r="N57" s="460">
        <v>148763.18354678099</v>
      </c>
      <c r="O57" s="588">
        <v>5633.4507349486203</v>
      </c>
      <c r="P57" s="588">
        <v>0</v>
      </c>
      <c r="Q57" s="588">
        <v>0</v>
      </c>
      <c r="R57" s="588">
        <v>143129.732811833</v>
      </c>
      <c r="S57" s="592">
        <v>0</v>
      </c>
      <c r="T57" s="592">
        <v>0</v>
      </c>
      <c r="U57" s="592">
        <v>0</v>
      </c>
      <c r="V57" s="592">
        <v>0</v>
      </c>
      <c r="W57" s="592">
        <v>0</v>
      </c>
      <c r="X57" s="592">
        <v>0</v>
      </c>
      <c r="Y57" s="592">
        <v>0</v>
      </c>
      <c r="Z57" s="592">
        <v>0</v>
      </c>
      <c r="AA57" s="592">
        <v>0</v>
      </c>
      <c r="AB57" s="592">
        <v>0</v>
      </c>
      <c r="AC57" s="592">
        <v>0</v>
      </c>
      <c r="AD57" s="592">
        <v>0</v>
      </c>
      <c r="AE57" s="592">
        <v>0</v>
      </c>
      <c r="AF57" s="592">
        <v>0</v>
      </c>
      <c r="AG57" s="592">
        <v>0</v>
      </c>
      <c r="AH57" s="592">
        <v>0</v>
      </c>
      <c r="AI57" s="592">
        <v>0</v>
      </c>
      <c r="AJ57" s="460">
        <v>0</v>
      </c>
      <c r="AK57" s="460">
        <v>0</v>
      </c>
      <c r="AL57" s="460">
        <v>0</v>
      </c>
      <c r="AM57" s="460">
        <v>0</v>
      </c>
      <c r="AN57" s="460">
        <v>0</v>
      </c>
      <c r="AO57" s="460">
        <v>0</v>
      </c>
      <c r="AP57" s="460">
        <v>0</v>
      </c>
      <c r="AQ57" s="460">
        <v>0</v>
      </c>
      <c r="AR57" s="460">
        <v>0</v>
      </c>
      <c r="AS57" s="460">
        <v>0</v>
      </c>
      <c r="AT57" s="460">
        <v>0</v>
      </c>
      <c r="AU57" s="460">
        <v>0</v>
      </c>
      <c r="AV57" s="460">
        <v>0</v>
      </c>
      <c r="AW57" s="460">
        <v>0</v>
      </c>
      <c r="AX57" s="460">
        <v>0</v>
      </c>
      <c r="AY57" s="460">
        <v>0</v>
      </c>
      <c r="AZ57" s="460">
        <v>0</v>
      </c>
    </row>
    <row r="58" spans="1:52" x14ac:dyDescent="0.2">
      <c r="A58" s="588" t="s">
        <v>341</v>
      </c>
      <c r="B58" s="588" t="s">
        <v>229</v>
      </c>
      <c r="C58" s="588" t="s">
        <v>82</v>
      </c>
      <c r="D58" s="588">
        <v>0</v>
      </c>
      <c r="E58" s="588">
        <v>0</v>
      </c>
      <c r="F58" s="589">
        <v>0</v>
      </c>
      <c r="G58" s="589">
        <v>0</v>
      </c>
      <c r="H58" s="588">
        <v>0</v>
      </c>
      <c r="I58" s="588">
        <v>0</v>
      </c>
      <c r="J58" s="588">
        <v>1539059.9245978701</v>
      </c>
      <c r="K58" s="588">
        <v>1539059.9245978701</v>
      </c>
      <c r="L58" s="460">
        <v>1539059.9245978701</v>
      </c>
      <c r="M58" s="460">
        <v>0</v>
      </c>
      <c r="N58" s="460">
        <v>1539059.9245978701</v>
      </c>
      <c r="O58" s="588">
        <v>67287.019780121307</v>
      </c>
      <c r="P58" s="588">
        <v>110822.568011132</v>
      </c>
      <c r="Q58" s="588">
        <v>46155.175740701103</v>
      </c>
      <c r="R58" s="588">
        <v>802586.76350342797</v>
      </c>
      <c r="S58" s="592">
        <v>0</v>
      </c>
      <c r="T58" s="592">
        <v>0</v>
      </c>
      <c r="U58" s="592">
        <v>512208.39756248298</v>
      </c>
      <c r="V58" s="592">
        <v>0</v>
      </c>
      <c r="W58" s="592">
        <v>0</v>
      </c>
      <c r="X58" s="592">
        <v>0</v>
      </c>
      <c r="Y58" s="592">
        <v>0</v>
      </c>
      <c r="Z58" s="592">
        <v>0</v>
      </c>
      <c r="AA58" s="592">
        <v>0</v>
      </c>
      <c r="AB58" s="592">
        <v>0</v>
      </c>
      <c r="AC58" s="592">
        <v>0</v>
      </c>
      <c r="AD58" s="592">
        <v>0</v>
      </c>
      <c r="AE58" s="592">
        <v>0</v>
      </c>
      <c r="AF58" s="592">
        <v>0</v>
      </c>
      <c r="AG58" s="592">
        <v>0</v>
      </c>
      <c r="AH58" s="592">
        <v>0</v>
      </c>
      <c r="AI58" s="592">
        <v>0</v>
      </c>
      <c r="AJ58" s="460">
        <v>0</v>
      </c>
      <c r="AK58" s="460">
        <v>0</v>
      </c>
      <c r="AL58" s="460">
        <v>0</v>
      </c>
      <c r="AM58" s="460">
        <v>0</v>
      </c>
      <c r="AN58" s="460">
        <v>0</v>
      </c>
      <c r="AO58" s="460">
        <v>0</v>
      </c>
      <c r="AP58" s="460">
        <v>0</v>
      </c>
      <c r="AQ58" s="460">
        <v>0</v>
      </c>
      <c r="AR58" s="460">
        <v>0</v>
      </c>
      <c r="AS58" s="460">
        <v>0</v>
      </c>
      <c r="AT58" s="460">
        <v>0</v>
      </c>
      <c r="AU58" s="460">
        <v>0</v>
      </c>
      <c r="AV58" s="460">
        <v>0</v>
      </c>
      <c r="AW58" s="460">
        <v>0</v>
      </c>
      <c r="AX58" s="460">
        <v>0</v>
      </c>
      <c r="AY58" s="460">
        <v>0</v>
      </c>
      <c r="AZ58" s="460">
        <v>0</v>
      </c>
    </row>
    <row r="59" spans="1:52" x14ac:dyDescent="0.2">
      <c r="A59" s="588" t="s">
        <v>347</v>
      </c>
      <c r="B59" s="588" t="s">
        <v>223</v>
      </c>
      <c r="C59" s="588" t="s">
        <v>348</v>
      </c>
      <c r="D59" s="588">
        <v>0</v>
      </c>
      <c r="E59" s="588">
        <v>0</v>
      </c>
      <c r="F59" s="589">
        <v>0</v>
      </c>
      <c r="G59" s="589">
        <v>0</v>
      </c>
      <c r="H59" s="588">
        <v>0</v>
      </c>
      <c r="I59" s="588">
        <v>0</v>
      </c>
      <c r="J59" s="588">
        <v>1696570.9313479899</v>
      </c>
      <c r="K59" s="588">
        <v>1696570.9313479899</v>
      </c>
      <c r="L59" s="460">
        <v>1696570.9313479899</v>
      </c>
      <c r="M59" s="460">
        <v>0</v>
      </c>
      <c r="N59" s="460">
        <v>1696570.9313479899</v>
      </c>
      <c r="O59" s="588">
        <v>68608.314156130102</v>
      </c>
      <c r="P59" s="588">
        <v>83953.920691708394</v>
      </c>
      <c r="Q59" s="588">
        <v>0</v>
      </c>
      <c r="R59" s="588">
        <v>1544008.69650016</v>
      </c>
      <c r="S59" s="592">
        <v>0</v>
      </c>
      <c r="T59" s="592">
        <v>0</v>
      </c>
      <c r="U59" s="592">
        <v>0</v>
      </c>
      <c r="V59" s="592">
        <v>0</v>
      </c>
      <c r="W59" s="592">
        <v>0</v>
      </c>
      <c r="X59" s="592">
        <v>0</v>
      </c>
      <c r="Y59" s="592">
        <v>0</v>
      </c>
      <c r="Z59" s="592">
        <v>0</v>
      </c>
      <c r="AA59" s="592">
        <v>0</v>
      </c>
      <c r="AB59" s="592">
        <v>0</v>
      </c>
      <c r="AC59" s="592">
        <v>0</v>
      </c>
      <c r="AD59" s="592">
        <v>0</v>
      </c>
      <c r="AE59" s="592">
        <v>0</v>
      </c>
      <c r="AF59" s="592">
        <v>0</v>
      </c>
      <c r="AG59" s="592">
        <v>0</v>
      </c>
      <c r="AH59" s="592">
        <v>0</v>
      </c>
      <c r="AI59" s="592">
        <v>0</v>
      </c>
      <c r="AJ59" s="460">
        <v>0</v>
      </c>
      <c r="AK59" s="460">
        <v>0</v>
      </c>
      <c r="AL59" s="460">
        <v>0</v>
      </c>
      <c r="AM59" s="460">
        <v>0</v>
      </c>
      <c r="AN59" s="460">
        <v>0</v>
      </c>
      <c r="AO59" s="460">
        <v>0</v>
      </c>
      <c r="AP59" s="460">
        <v>0</v>
      </c>
      <c r="AQ59" s="460">
        <v>0</v>
      </c>
      <c r="AR59" s="460">
        <v>0</v>
      </c>
      <c r="AS59" s="460">
        <v>0</v>
      </c>
      <c r="AT59" s="460">
        <v>0</v>
      </c>
      <c r="AU59" s="460">
        <v>0</v>
      </c>
      <c r="AV59" s="460">
        <v>0</v>
      </c>
      <c r="AW59" s="460">
        <v>0</v>
      </c>
      <c r="AX59" s="460">
        <v>0</v>
      </c>
      <c r="AY59" s="460">
        <v>0</v>
      </c>
      <c r="AZ59" s="460">
        <v>0</v>
      </c>
    </row>
    <row r="60" spans="1:52" x14ac:dyDescent="0.2">
      <c r="A60" s="588" t="s">
        <v>349</v>
      </c>
      <c r="B60" s="588" t="s">
        <v>223</v>
      </c>
      <c r="C60" s="588" t="s">
        <v>350</v>
      </c>
      <c r="D60" s="588">
        <v>0</v>
      </c>
      <c r="E60" s="588">
        <v>0</v>
      </c>
      <c r="F60" s="589">
        <v>0</v>
      </c>
      <c r="G60" s="589">
        <v>0</v>
      </c>
      <c r="H60" s="588">
        <v>0</v>
      </c>
      <c r="I60" s="588">
        <v>0</v>
      </c>
      <c r="J60" s="588">
        <v>1696570.9313497001</v>
      </c>
      <c r="K60" s="588">
        <v>1696570.9313497001</v>
      </c>
      <c r="L60" s="460">
        <v>1696570.9313497001</v>
      </c>
      <c r="M60" s="460">
        <v>0</v>
      </c>
      <c r="N60" s="460">
        <v>1696570.9313497001</v>
      </c>
      <c r="O60" s="588">
        <v>68608.314156198903</v>
      </c>
      <c r="P60" s="588">
        <v>83953.920691792402</v>
      </c>
      <c r="Q60" s="588">
        <v>0</v>
      </c>
      <c r="R60" s="588">
        <v>1544008.6965017</v>
      </c>
      <c r="S60" s="592">
        <v>0</v>
      </c>
      <c r="T60" s="592">
        <v>0</v>
      </c>
      <c r="U60" s="592">
        <v>0</v>
      </c>
      <c r="V60" s="592">
        <v>0</v>
      </c>
      <c r="W60" s="592">
        <v>0</v>
      </c>
      <c r="X60" s="592">
        <v>0</v>
      </c>
      <c r="Y60" s="592">
        <v>0</v>
      </c>
      <c r="Z60" s="592">
        <v>0</v>
      </c>
      <c r="AA60" s="592">
        <v>0</v>
      </c>
      <c r="AB60" s="592">
        <v>0</v>
      </c>
      <c r="AC60" s="592">
        <v>0</v>
      </c>
      <c r="AD60" s="592">
        <v>0</v>
      </c>
      <c r="AE60" s="592">
        <v>0</v>
      </c>
      <c r="AF60" s="592">
        <v>0</v>
      </c>
      <c r="AG60" s="592">
        <v>0</v>
      </c>
      <c r="AH60" s="592">
        <v>0</v>
      </c>
      <c r="AI60" s="592">
        <v>0</v>
      </c>
      <c r="AJ60" s="460">
        <v>0</v>
      </c>
      <c r="AK60" s="460">
        <v>0</v>
      </c>
      <c r="AL60" s="460">
        <v>0</v>
      </c>
      <c r="AM60" s="460">
        <v>0</v>
      </c>
      <c r="AN60" s="460">
        <v>0</v>
      </c>
      <c r="AO60" s="460">
        <v>0</v>
      </c>
      <c r="AP60" s="460">
        <v>0</v>
      </c>
      <c r="AQ60" s="460">
        <v>0</v>
      </c>
      <c r="AR60" s="460">
        <v>0</v>
      </c>
      <c r="AS60" s="460">
        <v>0</v>
      </c>
      <c r="AT60" s="460">
        <v>0</v>
      </c>
      <c r="AU60" s="460">
        <v>0</v>
      </c>
      <c r="AV60" s="460">
        <v>0</v>
      </c>
      <c r="AW60" s="460">
        <v>0</v>
      </c>
      <c r="AX60" s="460">
        <v>0</v>
      </c>
      <c r="AY60" s="460">
        <v>0</v>
      </c>
      <c r="AZ60" s="460">
        <v>0</v>
      </c>
    </row>
    <row r="61" spans="1:52" x14ac:dyDescent="0.2">
      <c r="A61" s="588" t="s">
        <v>351</v>
      </c>
      <c r="B61" s="588" t="s">
        <v>223</v>
      </c>
      <c r="C61" s="588" t="s">
        <v>352</v>
      </c>
      <c r="D61" s="588">
        <v>0</v>
      </c>
      <c r="E61" s="588">
        <v>0</v>
      </c>
      <c r="F61" s="589">
        <v>0</v>
      </c>
      <c r="G61" s="589">
        <v>0</v>
      </c>
      <c r="H61" s="588">
        <v>0</v>
      </c>
      <c r="I61" s="588">
        <v>0</v>
      </c>
      <c r="J61" s="588">
        <v>795267.21658899495</v>
      </c>
      <c r="K61" s="588">
        <v>795267.21658899495</v>
      </c>
      <c r="L61" s="460">
        <v>795267.21658899495</v>
      </c>
      <c r="M61" s="460">
        <v>0</v>
      </c>
      <c r="N61" s="460">
        <v>795267.21658899495</v>
      </c>
      <c r="O61" s="588">
        <v>32160.056426590701</v>
      </c>
      <c r="P61" s="588">
        <v>39353.289173300902</v>
      </c>
      <c r="Q61" s="588">
        <v>0</v>
      </c>
      <c r="R61" s="588">
        <v>723753.87098910403</v>
      </c>
      <c r="S61" s="592">
        <v>0</v>
      </c>
      <c r="T61" s="592">
        <v>0</v>
      </c>
      <c r="U61" s="592">
        <v>0</v>
      </c>
      <c r="V61" s="592">
        <v>0</v>
      </c>
      <c r="W61" s="592">
        <v>0</v>
      </c>
      <c r="X61" s="592">
        <v>0</v>
      </c>
      <c r="Y61" s="592">
        <v>0</v>
      </c>
      <c r="Z61" s="592">
        <v>0</v>
      </c>
      <c r="AA61" s="592">
        <v>0</v>
      </c>
      <c r="AB61" s="592">
        <v>0</v>
      </c>
      <c r="AC61" s="592">
        <v>0</v>
      </c>
      <c r="AD61" s="592">
        <v>0</v>
      </c>
      <c r="AE61" s="592">
        <v>0</v>
      </c>
      <c r="AF61" s="592">
        <v>0</v>
      </c>
      <c r="AG61" s="592">
        <v>0</v>
      </c>
      <c r="AH61" s="592">
        <v>0</v>
      </c>
      <c r="AI61" s="592">
        <v>0</v>
      </c>
      <c r="AJ61" s="460">
        <v>0</v>
      </c>
      <c r="AK61" s="460">
        <v>0</v>
      </c>
      <c r="AL61" s="460">
        <v>0</v>
      </c>
      <c r="AM61" s="460">
        <v>0</v>
      </c>
      <c r="AN61" s="460">
        <v>0</v>
      </c>
      <c r="AO61" s="460">
        <v>0</v>
      </c>
      <c r="AP61" s="460">
        <v>0</v>
      </c>
      <c r="AQ61" s="460">
        <v>0</v>
      </c>
      <c r="AR61" s="460">
        <v>0</v>
      </c>
      <c r="AS61" s="460">
        <v>0</v>
      </c>
      <c r="AT61" s="460">
        <v>0</v>
      </c>
      <c r="AU61" s="460">
        <v>0</v>
      </c>
      <c r="AV61" s="460">
        <v>0</v>
      </c>
      <c r="AW61" s="460">
        <v>0</v>
      </c>
      <c r="AX61" s="460">
        <v>0</v>
      </c>
      <c r="AY61" s="460">
        <v>0</v>
      </c>
      <c r="AZ61" s="460">
        <v>0</v>
      </c>
    </row>
    <row r="62" spans="1:52" x14ac:dyDescent="0.2">
      <c r="A62" s="588" t="s">
        <v>353</v>
      </c>
      <c r="B62" s="588" t="s">
        <v>223</v>
      </c>
      <c r="C62" s="588" t="s">
        <v>354</v>
      </c>
      <c r="D62" s="588">
        <v>0</v>
      </c>
      <c r="E62" s="588">
        <v>0</v>
      </c>
      <c r="F62" s="589">
        <v>0</v>
      </c>
      <c r="G62" s="589">
        <v>0</v>
      </c>
      <c r="H62" s="588">
        <v>0</v>
      </c>
      <c r="I62" s="588">
        <v>0</v>
      </c>
      <c r="J62" s="588">
        <v>530178.45217948896</v>
      </c>
      <c r="K62" s="588">
        <v>530178.45217948896</v>
      </c>
      <c r="L62" s="460">
        <v>530178.45217948896</v>
      </c>
      <c r="M62" s="460">
        <v>0</v>
      </c>
      <c r="N62" s="460">
        <v>530178.45217948896</v>
      </c>
      <c r="O62" s="588">
        <v>21440.176031635699</v>
      </c>
      <c r="P62" s="588">
        <v>26235.695488451001</v>
      </c>
      <c r="Q62" s="588">
        <v>0</v>
      </c>
      <c r="R62" s="588">
        <v>482502.58065940201</v>
      </c>
      <c r="S62" s="592">
        <v>0</v>
      </c>
      <c r="T62" s="592">
        <v>0</v>
      </c>
      <c r="U62" s="592">
        <v>0</v>
      </c>
      <c r="V62" s="592">
        <v>0</v>
      </c>
      <c r="W62" s="592">
        <v>0</v>
      </c>
      <c r="X62" s="592">
        <v>0</v>
      </c>
      <c r="Y62" s="592">
        <v>0</v>
      </c>
      <c r="Z62" s="592">
        <v>0</v>
      </c>
      <c r="AA62" s="592">
        <v>0</v>
      </c>
      <c r="AB62" s="592">
        <v>0</v>
      </c>
      <c r="AC62" s="592">
        <v>0</v>
      </c>
      <c r="AD62" s="592">
        <v>0</v>
      </c>
      <c r="AE62" s="592">
        <v>0</v>
      </c>
      <c r="AF62" s="592">
        <v>0</v>
      </c>
      <c r="AG62" s="592">
        <v>0</v>
      </c>
      <c r="AH62" s="592">
        <v>0</v>
      </c>
      <c r="AI62" s="592">
        <v>0</v>
      </c>
      <c r="AJ62" s="460">
        <v>0</v>
      </c>
      <c r="AK62" s="460">
        <v>0</v>
      </c>
      <c r="AL62" s="460">
        <v>0</v>
      </c>
      <c r="AM62" s="460">
        <v>0</v>
      </c>
      <c r="AN62" s="460">
        <v>0</v>
      </c>
      <c r="AO62" s="460">
        <v>0</v>
      </c>
      <c r="AP62" s="460">
        <v>0</v>
      </c>
      <c r="AQ62" s="460">
        <v>0</v>
      </c>
      <c r="AR62" s="460">
        <v>0</v>
      </c>
      <c r="AS62" s="460">
        <v>0</v>
      </c>
      <c r="AT62" s="460">
        <v>0</v>
      </c>
      <c r="AU62" s="460">
        <v>0</v>
      </c>
      <c r="AV62" s="460">
        <v>0</v>
      </c>
      <c r="AW62" s="460">
        <v>0</v>
      </c>
      <c r="AX62" s="460">
        <v>0</v>
      </c>
      <c r="AY62" s="460">
        <v>0</v>
      </c>
      <c r="AZ62" s="460">
        <v>0</v>
      </c>
    </row>
    <row r="63" spans="1:52" x14ac:dyDescent="0.2">
      <c r="A63" s="588" t="s">
        <v>355</v>
      </c>
      <c r="B63" s="588" t="s">
        <v>223</v>
      </c>
      <c r="C63" s="588" t="s">
        <v>356</v>
      </c>
      <c r="D63" s="588">
        <v>0</v>
      </c>
      <c r="E63" s="588">
        <v>0</v>
      </c>
      <c r="F63" s="589">
        <v>0</v>
      </c>
      <c r="G63" s="589">
        <v>0</v>
      </c>
      <c r="H63" s="588">
        <v>0</v>
      </c>
      <c r="I63" s="588">
        <v>0</v>
      </c>
      <c r="J63" s="588">
        <v>1112497.9085321201</v>
      </c>
      <c r="K63" s="588">
        <v>1112497.9085321201</v>
      </c>
      <c r="L63" s="460">
        <v>1112497.9085321201</v>
      </c>
      <c r="M63" s="460">
        <v>0</v>
      </c>
      <c r="N63" s="460">
        <v>1112497.9085321201</v>
      </c>
      <c r="O63" s="588">
        <v>45024.2450939173</v>
      </c>
      <c r="P63" s="588">
        <v>55094.808090121704</v>
      </c>
      <c r="Q63" s="588">
        <v>0</v>
      </c>
      <c r="R63" s="588">
        <v>1012378.8553480899</v>
      </c>
      <c r="S63" s="592">
        <v>0</v>
      </c>
      <c r="T63" s="592">
        <v>0</v>
      </c>
      <c r="U63" s="592">
        <v>0</v>
      </c>
      <c r="V63" s="592">
        <v>0</v>
      </c>
      <c r="W63" s="592">
        <v>0</v>
      </c>
      <c r="X63" s="592">
        <v>0</v>
      </c>
      <c r="Y63" s="592">
        <v>0</v>
      </c>
      <c r="Z63" s="592">
        <v>0</v>
      </c>
      <c r="AA63" s="592">
        <v>0</v>
      </c>
      <c r="AB63" s="592">
        <v>0</v>
      </c>
      <c r="AC63" s="592">
        <v>0</v>
      </c>
      <c r="AD63" s="592">
        <v>0</v>
      </c>
      <c r="AE63" s="592">
        <v>0</v>
      </c>
      <c r="AF63" s="592">
        <v>0</v>
      </c>
      <c r="AG63" s="592">
        <v>0</v>
      </c>
      <c r="AH63" s="592">
        <v>0</v>
      </c>
      <c r="AI63" s="592">
        <v>0</v>
      </c>
      <c r="AJ63" s="460">
        <v>0</v>
      </c>
      <c r="AK63" s="460">
        <v>0</v>
      </c>
      <c r="AL63" s="460">
        <v>0</v>
      </c>
      <c r="AM63" s="460">
        <v>0</v>
      </c>
      <c r="AN63" s="460">
        <v>0</v>
      </c>
      <c r="AO63" s="460">
        <v>0</v>
      </c>
      <c r="AP63" s="460">
        <v>0</v>
      </c>
      <c r="AQ63" s="460">
        <v>0</v>
      </c>
      <c r="AR63" s="460">
        <v>0</v>
      </c>
      <c r="AS63" s="460">
        <v>0</v>
      </c>
      <c r="AT63" s="460">
        <v>0</v>
      </c>
      <c r="AU63" s="460">
        <v>0</v>
      </c>
      <c r="AV63" s="460">
        <v>0</v>
      </c>
      <c r="AW63" s="460">
        <v>0</v>
      </c>
      <c r="AX63" s="460">
        <v>0</v>
      </c>
      <c r="AY63" s="460">
        <v>0</v>
      </c>
      <c r="AZ63" s="460">
        <v>0</v>
      </c>
    </row>
    <row r="64" spans="1:52" x14ac:dyDescent="0.2">
      <c r="A64" s="588" t="s">
        <v>368</v>
      </c>
      <c r="B64" s="588" t="s">
        <v>224</v>
      </c>
      <c r="C64" s="588" t="s">
        <v>72</v>
      </c>
      <c r="D64" s="588">
        <v>0</v>
      </c>
      <c r="E64" s="588">
        <v>0</v>
      </c>
      <c r="F64" s="589">
        <v>0</v>
      </c>
      <c r="G64" s="589">
        <v>0</v>
      </c>
      <c r="H64" s="588">
        <v>0</v>
      </c>
      <c r="I64" s="588">
        <v>0</v>
      </c>
      <c r="J64" s="588">
        <v>4480057.0066359201</v>
      </c>
      <c r="K64" s="588">
        <v>4480057.0066359201</v>
      </c>
      <c r="L64" s="460">
        <v>4480057.0066359201</v>
      </c>
      <c r="M64" s="460">
        <v>0</v>
      </c>
      <c r="N64" s="460">
        <v>4480057.0066359201</v>
      </c>
      <c r="O64" s="588">
        <v>181198.07896566801</v>
      </c>
      <c r="P64" s="588">
        <v>14303.61</v>
      </c>
      <c r="Q64" s="588">
        <v>0</v>
      </c>
      <c r="R64" s="588">
        <v>4284555.3176702503</v>
      </c>
      <c r="S64" s="592">
        <v>0</v>
      </c>
      <c r="T64" s="592">
        <v>0</v>
      </c>
      <c r="U64" s="592">
        <v>0</v>
      </c>
      <c r="V64" s="592">
        <v>0</v>
      </c>
      <c r="W64" s="592">
        <v>0</v>
      </c>
      <c r="X64" s="592">
        <v>0</v>
      </c>
      <c r="Y64" s="592">
        <v>0</v>
      </c>
      <c r="Z64" s="592">
        <v>0</v>
      </c>
      <c r="AA64" s="592">
        <v>0</v>
      </c>
      <c r="AB64" s="592">
        <v>0</v>
      </c>
      <c r="AC64" s="592">
        <v>0</v>
      </c>
      <c r="AD64" s="592">
        <v>0</v>
      </c>
      <c r="AE64" s="592">
        <v>0</v>
      </c>
      <c r="AF64" s="592">
        <v>0</v>
      </c>
      <c r="AG64" s="592">
        <v>0</v>
      </c>
      <c r="AH64" s="592">
        <v>0</v>
      </c>
      <c r="AI64" s="592">
        <v>0</v>
      </c>
      <c r="AJ64" s="460">
        <v>0</v>
      </c>
      <c r="AK64" s="460">
        <v>0</v>
      </c>
      <c r="AL64" s="460">
        <v>0</v>
      </c>
      <c r="AM64" s="460">
        <v>0</v>
      </c>
      <c r="AN64" s="460">
        <v>0</v>
      </c>
      <c r="AO64" s="460">
        <v>0</v>
      </c>
      <c r="AP64" s="460">
        <v>0</v>
      </c>
      <c r="AQ64" s="460">
        <v>0</v>
      </c>
      <c r="AR64" s="460">
        <v>0</v>
      </c>
      <c r="AS64" s="460">
        <v>0</v>
      </c>
      <c r="AT64" s="460">
        <v>0</v>
      </c>
      <c r="AU64" s="460">
        <v>0</v>
      </c>
      <c r="AV64" s="460">
        <v>0</v>
      </c>
      <c r="AW64" s="460">
        <v>0</v>
      </c>
      <c r="AX64" s="460">
        <v>0</v>
      </c>
      <c r="AY64" s="460">
        <v>0</v>
      </c>
      <c r="AZ64" s="460">
        <v>0</v>
      </c>
    </row>
    <row r="65" spans="1:52" x14ac:dyDescent="0.2">
      <c r="A65" s="588" t="s">
        <v>369</v>
      </c>
      <c r="B65" s="588" t="s">
        <v>224</v>
      </c>
      <c r="C65" s="588" t="s">
        <v>6</v>
      </c>
      <c r="D65" s="588">
        <v>0</v>
      </c>
      <c r="E65" s="588">
        <v>0</v>
      </c>
      <c r="F65" s="589">
        <v>0</v>
      </c>
      <c r="G65" s="589">
        <v>0</v>
      </c>
      <c r="H65" s="588">
        <v>0</v>
      </c>
      <c r="I65" s="588">
        <v>0</v>
      </c>
      <c r="J65" s="588">
        <v>510402.42979108798</v>
      </c>
      <c r="K65" s="588">
        <v>510402.42979108798</v>
      </c>
      <c r="L65" s="460">
        <v>510402.42979108798</v>
      </c>
      <c r="M65" s="460">
        <v>0</v>
      </c>
      <c r="N65" s="460">
        <v>510402.42979108798</v>
      </c>
      <c r="O65" s="588">
        <v>22021.7634483806</v>
      </c>
      <c r="P65" s="588">
        <v>82400</v>
      </c>
      <c r="Q65" s="588">
        <v>0</v>
      </c>
      <c r="R65" s="588">
        <v>405980.66634270799</v>
      </c>
      <c r="S65" s="592">
        <v>0</v>
      </c>
      <c r="T65" s="592">
        <v>0</v>
      </c>
      <c r="U65" s="592">
        <v>0</v>
      </c>
      <c r="V65" s="592">
        <v>0</v>
      </c>
      <c r="W65" s="592">
        <v>0</v>
      </c>
      <c r="X65" s="592">
        <v>0</v>
      </c>
      <c r="Y65" s="592">
        <v>0</v>
      </c>
      <c r="Z65" s="592">
        <v>0</v>
      </c>
      <c r="AA65" s="592">
        <v>0</v>
      </c>
      <c r="AB65" s="592">
        <v>0</v>
      </c>
      <c r="AC65" s="592">
        <v>0</v>
      </c>
      <c r="AD65" s="592">
        <v>0</v>
      </c>
      <c r="AE65" s="592">
        <v>0</v>
      </c>
      <c r="AF65" s="592">
        <v>0</v>
      </c>
      <c r="AG65" s="592">
        <v>0</v>
      </c>
      <c r="AH65" s="592">
        <v>0</v>
      </c>
      <c r="AI65" s="592">
        <v>0</v>
      </c>
      <c r="AJ65" s="460">
        <v>0</v>
      </c>
      <c r="AK65" s="460">
        <v>0</v>
      </c>
      <c r="AL65" s="460">
        <v>0</v>
      </c>
      <c r="AM65" s="460">
        <v>0</v>
      </c>
      <c r="AN65" s="460">
        <v>0</v>
      </c>
      <c r="AO65" s="460">
        <v>0</v>
      </c>
      <c r="AP65" s="460">
        <v>0</v>
      </c>
      <c r="AQ65" s="460">
        <v>0</v>
      </c>
      <c r="AR65" s="460">
        <v>0</v>
      </c>
      <c r="AS65" s="460">
        <v>0</v>
      </c>
      <c r="AT65" s="460">
        <v>0</v>
      </c>
      <c r="AU65" s="460">
        <v>0</v>
      </c>
      <c r="AV65" s="460">
        <v>0</v>
      </c>
      <c r="AW65" s="460">
        <v>0</v>
      </c>
      <c r="AX65" s="460">
        <v>0</v>
      </c>
      <c r="AY65" s="460">
        <v>0</v>
      </c>
      <c r="AZ65" s="460">
        <v>0</v>
      </c>
    </row>
    <row r="66" spans="1:52" x14ac:dyDescent="0.2">
      <c r="A66" s="588" t="s">
        <v>412</v>
      </c>
      <c r="B66" s="588" t="s">
        <v>228</v>
      </c>
      <c r="C66" s="588" t="s">
        <v>4</v>
      </c>
      <c r="D66" s="588">
        <v>11349953.6869689</v>
      </c>
      <c r="E66" s="588">
        <v>7706.1842074545903</v>
      </c>
      <c r="F66" s="589">
        <v>2.1911225351561199</v>
      </c>
      <c r="G66" s="589">
        <v>2.2872897562455199</v>
      </c>
      <c r="H66" s="588">
        <v>521950.44121517299</v>
      </c>
      <c r="I66" s="588">
        <v>9491221.7305638101</v>
      </c>
      <c r="J66" s="588">
        <v>4569882.3370759403</v>
      </c>
      <c r="K66" s="588">
        <v>4377745.3837834504</v>
      </c>
      <c r="L66" s="460">
        <v>535006.31793362601</v>
      </c>
      <c r="M66" s="460">
        <v>4145251.0133307199</v>
      </c>
      <c r="N66" s="460">
        <v>4680257.3312643403</v>
      </c>
      <c r="O66" s="588">
        <v>171263.33188748799</v>
      </c>
      <c r="P66" s="588">
        <v>41931.544869068799</v>
      </c>
      <c r="Q66" s="588">
        <v>21402.503866440798</v>
      </c>
      <c r="R66" s="588">
        <v>197408.93731062801</v>
      </c>
      <c r="S66" s="592">
        <v>0</v>
      </c>
      <c r="T66" s="592">
        <v>0</v>
      </c>
      <c r="U66" s="592">
        <v>103000</v>
      </c>
      <c r="V66" s="592">
        <v>0</v>
      </c>
      <c r="W66" s="592">
        <v>0</v>
      </c>
      <c r="X66" s="592">
        <v>0</v>
      </c>
      <c r="Y66" s="592">
        <v>2340199.9147429802</v>
      </c>
      <c r="Z66" s="592">
        <v>1805051.09858773</v>
      </c>
      <c r="AA66" s="592">
        <v>0</v>
      </c>
      <c r="AB66" s="592">
        <v>0</v>
      </c>
      <c r="AC66" s="592">
        <v>4145251.0133307199</v>
      </c>
      <c r="AD66" s="592">
        <v>0</v>
      </c>
      <c r="AE66" s="592">
        <v>0</v>
      </c>
      <c r="AF66" s="592">
        <v>46134758.668979101</v>
      </c>
      <c r="AG66" s="592">
        <v>41521282.802081198</v>
      </c>
      <c r="AH66" s="592">
        <v>756330.47627646895</v>
      </c>
      <c r="AI66" s="592">
        <v>680697.42864882201</v>
      </c>
      <c r="AJ66" s="460">
        <v>0.22858690989402899</v>
      </c>
      <c r="AK66" s="460">
        <v>0.76678773746984596</v>
      </c>
      <c r="AL66" s="460">
        <v>0.104324110690479</v>
      </c>
      <c r="AM66" s="460">
        <v>9.2110654365927802E-2</v>
      </c>
      <c r="AN66" s="460">
        <v>9.9937889054005802E-2</v>
      </c>
      <c r="AO66" s="460">
        <v>8.7724432729455099E-2</v>
      </c>
      <c r="AP66" s="460">
        <v>0.26258502158241698</v>
      </c>
      <c r="AQ66" s="460">
        <v>0.12426279920355</v>
      </c>
      <c r="AR66" s="460">
        <v>0.136476255528101</v>
      </c>
      <c r="AS66" s="460">
        <v>0.128649020840023</v>
      </c>
      <c r="AT66" s="460">
        <v>0.14086247716457301</v>
      </c>
      <c r="AU66" s="460">
        <v>0.41683572649515899</v>
      </c>
      <c r="AV66" s="460">
        <v>0.45780538895802902</v>
      </c>
      <c r="AW66" s="460">
        <v>0.43154917166238799</v>
      </c>
      <c r="AX66" s="460">
        <v>0.47251883412525902</v>
      </c>
      <c r="AY66" s="460">
        <v>-3.3998111688388899E-2</v>
      </c>
      <c r="AZ66" s="460">
        <v>-0.114045616837247</v>
      </c>
    </row>
    <row r="67" spans="1:52" x14ac:dyDescent="0.2">
      <c r="A67" s="588" t="s">
        <v>417</v>
      </c>
      <c r="B67" s="588" t="s">
        <v>229</v>
      </c>
      <c r="C67" s="588" t="s">
        <v>24</v>
      </c>
      <c r="D67" s="588">
        <v>3296503.0646072002</v>
      </c>
      <c r="E67" s="588">
        <v>237.86584960179999</v>
      </c>
      <c r="F67" s="589">
        <v>1.3446822030518399</v>
      </c>
      <c r="G67" s="589">
        <v>2.12210770489297</v>
      </c>
      <c r="H67" s="588">
        <v>0</v>
      </c>
      <c r="I67" s="588">
        <v>2301877.1782316598</v>
      </c>
      <c r="J67" s="588">
        <v>1711837.3196338899</v>
      </c>
      <c r="K67" s="588">
        <v>1084712.69998417</v>
      </c>
      <c r="L67" s="460">
        <v>758726.22940923995</v>
      </c>
      <c r="M67" s="460">
        <v>351649.10349800001</v>
      </c>
      <c r="N67" s="460">
        <v>1110375.3329072399</v>
      </c>
      <c r="O67" s="588">
        <v>46021.610560439098</v>
      </c>
      <c r="P67" s="588">
        <v>111887.035633491</v>
      </c>
      <c r="Q67" s="588">
        <v>25134.414997806802</v>
      </c>
      <c r="R67" s="588">
        <v>564130.81643890496</v>
      </c>
      <c r="S67" s="592">
        <v>0</v>
      </c>
      <c r="T67" s="592">
        <v>0</v>
      </c>
      <c r="U67" s="592">
        <v>11552.3517785968</v>
      </c>
      <c r="V67" s="592">
        <v>0</v>
      </c>
      <c r="W67" s="592">
        <v>0</v>
      </c>
      <c r="X67" s="592">
        <v>0</v>
      </c>
      <c r="Y67" s="592">
        <v>0</v>
      </c>
      <c r="Z67" s="592">
        <v>0</v>
      </c>
      <c r="AA67" s="592">
        <v>351649.10349800001</v>
      </c>
      <c r="AB67" s="592">
        <v>0</v>
      </c>
      <c r="AC67" s="592">
        <v>1329987.9938896601</v>
      </c>
      <c r="AD67" s="592">
        <v>0</v>
      </c>
      <c r="AE67" s="592">
        <v>609994.35138792498</v>
      </c>
      <c r="AF67" s="592">
        <v>22477004.651372802</v>
      </c>
      <c r="AG67" s="592">
        <v>15260551.541924899</v>
      </c>
      <c r="AH67" s="592">
        <v>0</v>
      </c>
      <c r="AI67" s="592">
        <v>0</v>
      </c>
      <c r="AJ67" s="460">
        <v>0.150838400034742</v>
      </c>
      <c r="AK67" s="460">
        <v>0</v>
      </c>
      <c r="AL67" s="460">
        <v>0.112174013824534</v>
      </c>
      <c r="AM67" s="460">
        <v>6.2455874390004697E-2</v>
      </c>
      <c r="AN67" s="460">
        <v>7.1079521405512006E-2</v>
      </c>
      <c r="AO67" s="460">
        <v>2.13613819709829E-2</v>
      </c>
      <c r="AP67" s="460">
        <v>0.230638548685415</v>
      </c>
      <c r="AQ67" s="460">
        <v>3.8664386210208297E-2</v>
      </c>
      <c r="AR67" s="460">
        <v>8.8382525644737406E-2</v>
      </c>
      <c r="AS67" s="460">
        <v>7.9758878629230007E-2</v>
      </c>
      <c r="AT67" s="460">
        <v>0.129477018063759</v>
      </c>
      <c r="AU67" s="460">
        <v>0</v>
      </c>
      <c r="AV67" s="460">
        <v>0</v>
      </c>
      <c r="AW67" s="460">
        <v>0</v>
      </c>
      <c r="AX67" s="460">
        <v>0</v>
      </c>
      <c r="AY67" s="460">
        <v>-7.9800148650672795E-2</v>
      </c>
      <c r="AZ67" s="460">
        <v>0</v>
      </c>
    </row>
    <row r="68" spans="1:52" x14ac:dyDescent="0.2">
      <c r="A68" s="588" t="s">
        <v>418</v>
      </c>
      <c r="B68" s="588" t="s">
        <v>229</v>
      </c>
      <c r="C68" s="588" t="s">
        <v>25</v>
      </c>
      <c r="D68" s="588">
        <v>3272060.1792473998</v>
      </c>
      <c r="E68" s="588">
        <v>289.95554108179999</v>
      </c>
      <c r="F68" s="589">
        <v>1.0996950003073001</v>
      </c>
      <c r="G68" s="589">
        <v>2.0227299366993798</v>
      </c>
      <c r="H68" s="588">
        <v>-674.24878161530705</v>
      </c>
      <c r="I68" s="588">
        <v>2051398.2099367201</v>
      </c>
      <c r="J68" s="588">
        <v>1864811.5710101901</v>
      </c>
      <c r="K68" s="588">
        <v>1013839.72420036</v>
      </c>
      <c r="L68" s="460">
        <v>739541.64651034598</v>
      </c>
      <c r="M68" s="460">
        <v>295891.64526000002</v>
      </c>
      <c r="N68" s="460">
        <v>1035433.29177035</v>
      </c>
      <c r="O68" s="588">
        <v>45118.533317363297</v>
      </c>
      <c r="P68" s="588">
        <v>85339.396134879702</v>
      </c>
      <c r="Q68" s="588">
        <v>31418.018747258498</v>
      </c>
      <c r="R68" s="588">
        <v>566113.34653224796</v>
      </c>
      <c r="S68" s="592">
        <v>0</v>
      </c>
      <c r="T68" s="592">
        <v>0</v>
      </c>
      <c r="U68" s="592">
        <v>11552.3517785968</v>
      </c>
      <c r="V68" s="592">
        <v>0</v>
      </c>
      <c r="W68" s="592">
        <v>0</v>
      </c>
      <c r="X68" s="592">
        <v>0</v>
      </c>
      <c r="Y68" s="592">
        <v>0</v>
      </c>
      <c r="Z68" s="592">
        <v>0</v>
      </c>
      <c r="AA68" s="592">
        <v>295891.64526000002</v>
      </c>
      <c r="AB68" s="592">
        <v>0</v>
      </c>
      <c r="AC68" s="592">
        <v>1664305.56903444</v>
      </c>
      <c r="AD68" s="592">
        <v>0</v>
      </c>
      <c r="AE68" s="592">
        <v>834747.62505451997</v>
      </c>
      <c r="AF68" s="592">
        <v>22563646.642291699</v>
      </c>
      <c r="AG68" s="592">
        <v>15163316.927553101</v>
      </c>
      <c r="AH68" s="592">
        <v>-12815.1215656769</v>
      </c>
      <c r="AI68" s="592">
        <v>-640.75607828384295</v>
      </c>
      <c r="AJ68" s="460">
        <v>0.135286904556426</v>
      </c>
      <c r="AK68" s="460">
        <v>1.0522705979179601</v>
      </c>
      <c r="AL68" s="460">
        <v>0.123022205719424</v>
      </c>
      <c r="AM68" s="460">
        <v>7.4234410754277502E-2</v>
      </c>
      <c r="AN68" s="460">
        <v>6.6883325401898605E-2</v>
      </c>
      <c r="AO68" s="460">
        <v>1.80955304367524E-2</v>
      </c>
      <c r="AP68" s="460">
        <v>0.226192643450562</v>
      </c>
      <c r="AQ68" s="460">
        <v>1.22646988370025E-2</v>
      </c>
      <c r="AR68" s="460">
        <v>6.1052493802148701E-2</v>
      </c>
      <c r="AS68" s="460">
        <v>6.8403579154527605E-2</v>
      </c>
      <c r="AT68" s="460">
        <v>0.11719137411967399</v>
      </c>
      <c r="AU68" s="460">
        <v>9.5395648387447102E-2</v>
      </c>
      <c r="AV68" s="460">
        <v>0.47487038282239102</v>
      </c>
      <c r="AW68" s="460">
        <v>0.532047616675559</v>
      </c>
      <c r="AX68" s="460">
        <v>0.91152235111050295</v>
      </c>
      <c r="AY68" s="460">
        <v>-9.0905738894136001E-2</v>
      </c>
      <c r="AZ68" s="460">
        <v>-0.70707092112096503</v>
      </c>
    </row>
    <row r="69" spans="1:52" x14ac:dyDescent="0.2">
      <c r="A69" s="588" t="s">
        <v>419</v>
      </c>
      <c r="B69" s="588" t="s">
        <v>229</v>
      </c>
      <c r="C69" s="588" t="s">
        <v>26</v>
      </c>
      <c r="D69" s="588">
        <v>3317787.281</v>
      </c>
      <c r="E69" s="588">
        <v>252.97999636879999</v>
      </c>
      <c r="F69" s="589">
        <v>1.363958904388</v>
      </c>
      <c r="G69" s="589">
        <v>1.8989688643686</v>
      </c>
      <c r="H69" s="588">
        <v>63054.747169579598</v>
      </c>
      <c r="I69" s="588">
        <v>2230663.3035353101</v>
      </c>
      <c r="J69" s="588">
        <v>1681662.1404983399</v>
      </c>
      <c r="K69" s="588">
        <v>1207875.5443247</v>
      </c>
      <c r="L69" s="460">
        <v>941527.19558271905</v>
      </c>
      <c r="M69" s="460">
        <v>287316.08980000002</v>
      </c>
      <c r="N69" s="460">
        <v>1228843.2853827199</v>
      </c>
      <c r="O69" s="588">
        <v>56575.721821075298</v>
      </c>
      <c r="P69" s="588">
        <v>92938.088598598493</v>
      </c>
      <c r="Q69" s="588">
        <v>13823.428260430999</v>
      </c>
      <c r="R69" s="588">
        <v>722459.61714388197</v>
      </c>
      <c r="S69" s="592">
        <v>0</v>
      </c>
      <c r="T69" s="592">
        <v>0</v>
      </c>
      <c r="U69" s="592">
        <v>55730.339758732101</v>
      </c>
      <c r="V69" s="592">
        <v>0</v>
      </c>
      <c r="W69" s="592">
        <v>0</v>
      </c>
      <c r="X69" s="592">
        <v>0</v>
      </c>
      <c r="Y69" s="592">
        <v>0</v>
      </c>
      <c r="Z69" s="592">
        <v>0</v>
      </c>
      <c r="AA69" s="592">
        <v>287316.08980000002</v>
      </c>
      <c r="AB69" s="592">
        <v>0</v>
      </c>
      <c r="AC69" s="592">
        <v>1002950.12290715</v>
      </c>
      <c r="AD69" s="592">
        <v>0</v>
      </c>
      <c r="AE69" s="592">
        <v>460936.99223885301</v>
      </c>
      <c r="AF69" s="592">
        <v>24031801.6163342</v>
      </c>
      <c r="AG69" s="592">
        <v>16941206.071851701</v>
      </c>
      <c r="AH69" s="592">
        <v>108950.10758698299</v>
      </c>
      <c r="AI69" s="592">
        <v>59922.559172840804</v>
      </c>
      <c r="AJ69" s="460">
        <v>0.13167086771004</v>
      </c>
      <c r="AK69" s="460">
        <v>1.0522705979179601</v>
      </c>
      <c r="AL69" s="460">
        <v>9.6535802718425406E-2</v>
      </c>
      <c r="AM69" s="460">
        <v>4.2487441030344901E-2</v>
      </c>
      <c r="AN69" s="460">
        <v>6.9338086674643598E-2</v>
      </c>
      <c r="AO69" s="460">
        <v>1.52897249865631E-2</v>
      </c>
      <c r="AP69" s="460">
        <v>0.228955156020997</v>
      </c>
      <c r="AQ69" s="460">
        <v>3.5135064991614097E-2</v>
      </c>
      <c r="AR69" s="460">
        <v>8.9183426679694602E-2</v>
      </c>
      <c r="AS69" s="460">
        <v>6.2332781035396002E-2</v>
      </c>
      <c r="AT69" s="460">
        <v>0.11638114272347599</v>
      </c>
      <c r="AU69" s="460">
        <v>0.28078797147467699</v>
      </c>
      <c r="AV69" s="460">
        <v>0.71272483692654798</v>
      </c>
      <c r="AW69" s="460">
        <v>0.49814324087578399</v>
      </c>
      <c r="AX69" s="460">
        <v>0.93008010632765403</v>
      </c>
      <c r="AY69" s="460">
        <v>-9.7284288310957701E-2</v>
      </c>
      <c r="AZ69" s="460">
        <v>-0.77746427899623105</v>
      </c>
    </row>
    <row r="70" spans="1:52" x14ac:dyDescent="0.2">
      <c r="A70" s="588" t="s">
        <v>427</v>
      </c>
      <c r="B70" s="588" t="s">
        <v>233</v>
      </c>
      <c r="C70" s="588" t="s">
        <v>27</v>
      </c>
      <c r="D70" s="588">
        <v>17880989.803722799</v>
      </c>
      <c r="E70" s="588">
        <v>1254.46474791477</v>
      </c>
      <c r="F70" s="589">
        <v>0.82659285051310905</v>
      </c>
      <c r="G70" s="589">
        <v>2.2196887457925301</v>
      </c>
      <c r="H70" s="588">
        <v>0</v>
      </c>
      <c r="I70" s="588">
        <v>7549962.5216492303</v>
      </c>
      <c r="J70" s="588">
        <v>9133834.7736283708</v>
      </c>
      <c r="K70" s="588">
        <v>3401360.9051991398</v>
      </c>
      <c r="L70" s="460">
        <v>1707541.3644226501</v>
      </c>
      <c r="M70" s="460">
        <v>1827162.0964850399</v>
      </c>
      <c r="N70" s="460">
        <v>3534703.4609076902</v>
      </c>
      <c r="O70" s="588">
        <v>168308.62545462599</v>
      </c>
      <c r="P70" s="588">
        <v>95896.757757094398</v>
      </c>
      <c r="Q70" s="588">
        <v>15381.4210506534</v>
      </c>
      <c r="R70" s="588">
        <v>1419479.47250778</v>
      </c>
      <c r="S70" s="592">
        <v>0</v>
      </c>
      <c r="T70" s="592">
        <v>0</v>
      </c>
      <c r="U70" s="592">
        <v>8475.0876524928899</v>
      </c>
      <c r="V70" s="592">
        <v>0</v>
      </c>
      <c r="W70" s="592">
        <v>0</v>
      </c>
      <c r="X70" s="592">
        <v>0</v>
      </c>
      <c r="Y70" s="592">
        <v>0</v>
      </c>
      <c r="Z70" s="592">
        <v>0</v>
      </c>
      <c r="AA70" s="592">
        <v>1827162.0964850399</v>
      </c>
      <c r="AB70" s="592">
        <v>0</v>
      </c>
      <c r="AC70" s="592">
        <v>11052957.5940178</v>
      </c>
      <c r="AD70" s="592">
        <v>0</v>
      </c>
      <c r="AE70" s="592">
        <v>5602529.3405951001</v>
      </c>
      <c r="AF70" s="592">
        <v>122412309.61564299</v>
      </c>
      <c r="AG70" s="592">
        <v>80384040.138434798</v>
      </c>
      <c r="AH70" s="592">
        <v>0</v>
      </c>
      <c r="AI70" s="592">
        <v>0</v>
      </c>
      <c r="AJ70" s="460">
        <v>9.3923650872075201E-2</v>
      </c>
      <c r="AK70" s="460">
        <v>0</v>
      </c>
      <c r="AL70" s="460">
        <v>0.113627465824041</v>
      </c>
      <c r="AM70" s="460">
        <v>9.2385172434930996E-2</v>
      </c>
      <c r="AN70" s="460">
        <v>4.2313883444293501E-2</v>
      </c>
      <c r="AO70" s="460">
        <v>2.1071590055183199E-2</v>
      </c>
      <c r="AP70" s="460">
        <v>0.20241692550353099</v>
      </c>
      <c r="AQ70" s="460">
        <v>-1.97038149519661E-2</v>
      </c>
      <c r="AR70" s="460">
        <v>1.53847843714419E-3</v>
      </c>
      <c r="AS70" s="460">
        <v>5.16097674277817E-2</v>
      </c>
      <c r="AT70" s="460">
        <v>7.2852060816891995E-2</v>
      </c>
      <c r="AU70" s="460">
        <v>0</v>
      </c>
      <c r="AV70" s="460">
        <v>0</v>
      </c>
      <c r="AW70" s="460">
        <v>0</v>
      </c>
      <c r="AX70" s="460">
        <v>0</v>
      </c>
      <c r="AY70" s="460">
        <v>-0.108493274631456</v>
      </c>
      <c r="AZ70" s="460">
        <v>0</v>
      </c>
    </row>
    <row r="71" spans="1:52" x14ac:dyDescent="0.2">
      <c r="A71" s="588" t="s">
        <v>428</v>
      </c>
      <c r="B71" s="588" t="s">
        <v>233</v>
      </c>
      <c r="C71" s="588" t="s">
        <v>28</v>
      </c>
      <c r="D71" s="588">
        <v>44390991.303166799</v>
      </c>
      <c r="E71" s="588">
        <v>2634.7936715455198</v>
      </c>
      <c r="F71" s="589">
        <v>1.4646527595682499</v>
      </c>
      <c r="G71" s="589">
        <v>3.2324357316736099</v>
      </c>
      <c r="H71" s="588">
        <v>0</v>
      </c>
      <c r="I71" s="588">
        <v>23322081.069735199</v>
      </c>
      <c r="J71" s="588">
        <v>15923283.4659118</v>
      </c>
      <c r="K71" s="588">
        <v>7215017.7159624798</v>
      </c>
      <c r="L71" s="460">
        <v>3421146.6250505499</v>
      </c>
      <c r="M71" s="460">
        <v>4092536.0048017902</v>
      </c>
      <c r="N71" s="460">
        <v>7513682.6298523396</v>
      </c>
      <c r="O71" s="588">
        <v>317900.46299935598</v>
      </c>
      <c r="P71" s="588">
        <v>132964.15710833299</v>
      </c>
      <c r="Q71" s="588">
        <v>88579.415115288197</v>
      </c>
      <c r="R71" s="588">
        <v>2873227.5021750801</v>
      </c>
      <c r="S71" s="592">
        <v>0</v>
      </c>
      <c r="T71" s="592">
        <v>0</v>
      </c>
      <c r="U71" s="592">
        <v>8475.0876524928899</v>
      </c>
      <c r="V71" s="592">
        <v>0</v>
      </c>
      <c r="W71" s="592">
        <v>0</v>
      </c>
      <c r="X71" s="592">
        <v>0</v>
      </c>
      <c r="Y71" s="592">
        <v>0</v>
      </c>
      <c r="Z71" s="592">
        <v>0</v>
      </c>
      <c r="AA71" s="592">
        <v>4092536.0048017902</v>
      </c>
      <c r="AB71" s="592">
        <v>0</v>
      </c>
      <c r="AC71" s="592">
        <v>15373552.580462299</v>
      </c>
      <c r="AD71" s="592">
        <v>0</v>
      </c>
      <c r="AE71" s="592">
        <v>8581684.3593763094</v>
      </c>
      <c r="AF71" s="592">
        <v>260810131.25089201</v>
      </c>
      <c r="AG71" s="592">
        <v>206697524.23645401</v>
      </c>
      <c r="AH71" s="592">
        <v>0</v>
      </c>
      <c r="AI71" s="592">
        <v>0</v>
      </c>
      <c r="AJ71" s="460">
        <v>0.112831932341172</v>
      </c>
      <c r="AK71" s="460">
        <v>0</v>
      </c>
      <c r="AL71" s="460">
        <v>7.7036643398283797E-2</v>
      </c>
      <c r="AM71" s="460">
        <v>6.0485179428464299E-2</v>
      </c>
      <c r="AN71" s="460">
        <v>3.4906164176929301E-2</v>
      </c>
      <c r="AO71" s="460">
        <v>1.83547002071099E-2</v>
      </c>
      <c r="AP71" s="460">
        <v>0.19254523888844799</v>
      </c>
      <c r="AQ71" s="460">
        <v>3.5795288942887901E-2</v>
      </c>
      <c r="AR71" s="460">
        <v>5.2346752912707399E-2</v>
      </c>
      <c r="AS71" s="460">
        <v>7.7925768164242307E-2</v>
      </c>
      <c r="AT71" s="460">
        <v>9.4477232134061798E-2</v>
      </c>
      <c r="AU71" s="460">
        <v>0</v>
      </c>
      <c r="AV71" s="460">
        <v>0</v>
      </c>
      <c r="AW71" s="460">
        <v>0</v>
      </c>
      <c r="AX71" s="460">
        <v>0</v>
      </c>
      <c r="AY71" s="460">
        <v>-7.9713306547276597E-2</v>
      </c>
      <c r="AZ71" s="460">
        <v>0</v>
      </c>
    </row>
    <row r="72" spans="1:52" x14ac:dyDescent="0.2">
      <c r="A72" s="588" t="s">
        <v>429</v>
      </c>
      <c r="B72" s="588" t="s">
        <v>233</v>
      </c>
      <c r="C72" s="588" t="s">
        <v>29</v>
      </c>
      <c r="D72" s="588">
        <v>20925804.4454838</v>
      </c>
      <c r="E72" s="588">
        <v>571.32956909066104</v>
      </c>
      <c r="F72" s="589">
        <v>0.93855474229913005</v>
      </c>
      <c r="G72" s="589">
        <v>1.2444706373034</v>
      </c>
      <c r="H72" s="588">
        <v>0</v>
      </c>
      <c r="I72" s="588">
        <v>3741617.9552134699</v>
      </c>
      <c r="J72" s="588">
        <v>3986574.0234265099</v>
      </c>
      <c r="K72" s="588">
        <v>3006594.0031506601</v>
      </c>
      <c r="L72" s="460">
        <v>1346980.3669114001</v>
      </c>
      <c r="M72" s="460">
        <v>1790263.4005249201</v>
      </c>
      <c r="N72" s="460">
        <v>3137243.76743632</v>
      </c>
      <c r="O72" s="588">
        <v>140914.658284128</v>
      </c>
      <c r="P72" s="588">
        <v>129334.092812178</v>
      </c>
      <c r="Q72" s="588">
        <v>84360.568591943898</v>
      </c>
      <c r="R72" s="588">
        <v>983895.95957066002</v>
      </c>
      <c r="S72" s="592">
        <v>0</v>
      </c>
      <c r="T72" s="592">
        <v>0</v>
      </c>
      <c r="U72" s="592">
        <v>8475.0876524928899</v>
      </c>
      <c r="V72" s="592">
        <v>0</v>
      </c>
      <c r="W72" s="592">
        <v>0</v>
      </c>
      <c r="X72" s="592">
        <v>0</v>
      </c>
      <c r="Y72" s="592">
        <v>0</v>
      </c>
      <c r="Z72" s="592">
        <v>0</v>
      </c>
      <c r="AA72" s="592">
        <v>1790263.4005249201</v>
      </c>
      <c r="AB72" s="592">
        <v>0</v>
      </c>
      <c r="AC72" s="592">
        <v>3191536.5383875398</v>
      </c>
      <c r="AD72" s="592">
        <v>0</v>
      </c>
      <c r="AE72" s="592">
        <v>854029.82775297598</v>
      </c>
      <c r="AF72" s="592">
        <v>75651664.034008801</v>
      </c>
      <c r="AG72" s="592">
        <v>48781973.778959401</v>
      </c>
      <c r="AH72" s="592">
        <v>0</v>
      </c>
      <c r="AI72" s="592">
        <v>0</v>
      </c>
      <c r="AJ72" s="460">
        <v>7.6700831585197096E-2</v>
      </c>
      <c r="AK72" s="460">
        <v>0</v>
      </c>
      <c r="AL72" s="460">
        <v>8.1722278017909794E-2</v>
      </c>
      <c r="AM72" s="460">
        <v>5.4110021633721E-2</v>
      </c>
      <c r="AN72" s="460">
        <v>6.1633299562131698E-2</v>
      </c>
      <c r="AO72" s="460">
        <v>3.4021043177942897E-2</v>
      </c>
      <c r="AP72" s="460">
        <v>0.21234044042115199</v>
      </c>
      <c r="AQ72" s="460">
        <v>-5.0214464327126198E-3</v>
      </c>
      <c r="AR72" s="460">
        <v>2.25908099514762E-2</v>
      </c>
      <c r="AS72" s="460">
        <v>1.50675320230654E-2</v>
      </c>
      <c r="AT72" s="460">
        <v>4.2679788407254199E-2</v>
      </c>
      <c r="AU72" s="460">
        <v>0</v>
      </c>
      <c r="AV72" s="460">
        <v>0</v>
      </c>
      <c r="AW72" s="460">
        <v>0</v>
      </c>
      <c r="AX72" s="460">
        <v>0</v>
      </c>
      <c r="AY72" s="460">
        <v>-0.13563960883595499</v>
      </c>
      <c r="AZ72" s="460">
        <v>0</v>
      </c>
    </row>
    <row r="73" spans="1:52" x14ac:dyDescent="0.2">
      <c r="A73" s="588" t="s">
        <v>430</v>
      </c>
      <c r="B73" s="588" t="s">
        <v>233</v>
      </c>
      <c r="C73" s="588" t="s">
        <v>30</v>
      </c>
      <c r="D73" s="588">
        <v>14014042.3824674</v>
      </c>
      <c r="E73" s="588">
        <v>366.45455889828202</v>
      </c>
      <c r="F73" s="589">
        <v>1.4307041403643499</v>
      </c>
      <c r="G73" s="589">
        <v>1.99382788720521</v>
      </c>
      <c r="H73" s="588">
        <v>0</v>
      </c>
      <c r="I73" s="588">
        <v>5828470.4045724999</v>
      </c>
      <c r="J73" s="588">
        <v>4073847.4434610801</v>
      </c>
      <c r="K73" s="588">
        <v>2923256.5368229402</v>
      </c>
      <c r="L73" s="460">
        <v>1207442.5709460501</v>
      </c>
      <c r="M73" s="460">
        <v>1850887.98871261</v>
      </c>
      <c r="N73" s="460">
        <v>3058330.5596586699</v>
      </c>
      <c r="O73" s="588">
        <v>109491.90528042401</v>
      </c>
      <c r="P73" s="588">
        <v>70694.232771201001</v>
      </c>
      <c r="Q73" s="588">
        <v>35903.353040098496</v>
      </c>
      <c r="R73" s="588">
        <v>969573.48233162996</v>
      </c>
      <c r="S73" s="592">
        <v>0</v>
      </c>
      <c r="T73" s="592">
        <v>0</v>
      </c>
      <c r="U73" s="592">
        <v>21779.597522700202</v>
      </c>
      <c r="V73" s="592">
        <v>0</v>
      </c>
      <c r="W73" s="592">
        <v>0</v>
      </c>
      <c r="X73" s="592">
        <v>0</v>
      </c>
      <c r="Y73" s="592">
        <v>0</v>
      </c>
      <c r="Z73" s="592">
        <v>0</v>
      </c>
      <c r="AA73" s="592">
        <v>1850887.98871261</v>
      </c>
      <c r="AB73" s="592">
        <v>0</v>
      </c>
      <c r="AC73" s="592">
        <v>3619927.4330094098</v>
      </c>
      <c r="AD73" s="592">
        <v>0</v>
      </c>
      <c r="AE73" s="592">
        <v>1060172.5029309499</v>
      </c>
      <c r="AF73" s="592">
        <v>93418683.121925697</v>
      </c>
      <c r="AG73" s="592">
        <v>61705587.550947897</v>
      </c>
      <c r="AH73" s="592">
        <v>0</v>
      </c>
      <c r="AI73" s="592">
        <v>0</v>
      </c>
      <c r="AJ73" s="460">
        <v>9.4456120359605295E-2</v>
      </c>
      <c r="AK73" s="460">
        <v>0</v>
      </c>
      <c r="AL73" s="460">
        <v>6.6020722031006798E-2</v>
      </c>
      <c r="AM73" s="460">
        <v>4.6452922438318098E-2</v>
      </c>
      <c r="AN73" s="460">
        <v>4.7374259817384003E-2</v>
      </c>
      <c r="AO73" s="460">
        <v>2.7806460224695299E-2</v>
      </c>
      <c r="AP73" s="460">
        <v>0.20752572143870501</v>
      </c>
      <c r="AQ73" s="460">
        <v>2.84353983285986E-2</v>
      </c>
      <c r="AR73" s="460">
        <v>4.8003197921287197E-2</v>
      </c>
      <c r="AS73" s="460">
        <v>4.7081860542221403E-2</v>
      </c>
      <c r="AT73" s="460">
        <v>6.6649660134910096E-2</v>
      </c>
      <c r="AU73" s="460">
        <v>0</v>
      </c>
      <c r="AV73" s="460">
        <v>0</v>
      </c>
      <c r="AW73" s="460">
        <v>0</v>
      </c>
      <c r="AX73" s="460">
        <v>0</v>
      </c>
      <c r="AY73" s="460">
        <v>-0.113069601079099</v>
      </c>
      <c r="AZ73" s="460">
        <v>0</v>
      </c>
    </row>
    <row r="74" spans="1:52" x14ac:dyDescent="0.2">
      <c r="A74" s="588" t="s">
        <v>431</v>
      </c>
      <c r="B74" s="588" t="s">
        <v>233</v>
      </c>
      <c r="C74" s="588" t="s">
        <v>31</v>
      </c>
      <c r="D74" s="588">
        <v>10914622.950819699</v>
      </c>
      <c r="E74" s="588">
        <v>333.03479525938502</v>
      </c>
      <c r="F74" s="589">
        <v>0.95887363764226197</v>
      </c>
      <c r="G74" s="589">
        <v>1.30834817090943</v>
      </c>
      <c r="H74" s="588">
        <v>0</v>
      </c>
      <c r="I74" s="588">
        <v>2608613.42215678</v>
      </c>
      <c r="J74" s="588">
        <v>2720497.59191524</v>
      </c>
      <c r="K74" s="588">
        <v>1993822.04229593</v>
      </c>
      <c r="L74" s="460">
        <v>1138064.76693007</v>
      </c>
      <c r="M74" s="460">
        <v>923125.05535448203</v>
      </c>
      <c r="N74" s="460">
        <v>2061189.8222845499</v>
      </c>
      <c r="O74" s="588">
        <v>95535.408438369006</v>
      </c>
      <c r="P74" s="588">
        <v>64752.382604545499</v>
      </c>
      <c r="Q74" s="588">
        <v>24747.647353750301</v>
      </c>
      <c r="R74" s="588">
        <v>942111.59713881603</v>
      </c>
      <c r="S74" s="592">
        <v>0</v>
      </c>
      <c r="T74" s="592">
        <v>0</v>
      </c>
      <c r="U74" s="592">
        <v>10917.731394591099</v>
      </c>
      <c r="V74" s="592">
        <v>0</v>
      </c>
      <c r="W74" s="592">
        <v>0</v>
      </c>
      <c r="X74" s="592">
        <v>0</v>
      </c>
      <c r="Y74" s="592">
        <v>0</v>
      </c>
      <c r="Z74" s="592">
        <v>0</v>
      </c>
      <c r="AA74" s="592">
        <v>923125.05535448203</v>
      </c>
      <c r="AB74" s="592">
        <v>0</v>
      </c>
      <c r="AC74" s="592">
        <v>2058087.1308693499</v>
      </c>
      <c r="AD74" s="592">
        <v>0</v>
      </c>
      <c r="AE74" s="592">
        <v>680977.27236852504</v>
      </c>
      <c r="AF74" s="592">
        <v>44109531.035929702</v>
      </c>
      <c r="AG74" s="592">
        <v>28671196.2250075</v>
      </c>
      <c r="AH74" s="592">
        <v>0</v>
      </c>
      <c r="AI74" s="592">
        <v>0</v>
      </c>
      <c r="AJ74" s="460">
        <v>9.0983766484131007E-2</v>
      </c>
      <c r="AK74" s="460">
        <v>0</v>
      </c>
      <c r="AL74" s="460">
        <v>9.4886086041376203E-2</v>
      </c>
      <c r="AM74" s="460">
        <v>5.5192424221384401E-2</v>
      </c>
      <c r="AN74" s="460">
        <v>6.9540943693060298E-2</v>
      </c>
      <c r="AO74" s="460">
        <v>2.9847281873068499E-2</v>
      </c>
      <c r="AP74" s="460">
        <v>0.22230241820261201</v>
      </c>
      <c r="AQ74" s="460">
        <v>-3.9023195572451502E-3</v>
      </c>
      <c r="AR74" s="460">
        <v>3.5791342262746599E-2</v>
      </c>
      <c r="AS74" s="460">
        <v>2.1442822791070699E-2</v>
      </c>
      <c r="AT74" s="460">
        <v>6.1136484611062497E-2</v>
      </c>
      <c r="AU74" s="460">
        <v>0</v>
      </c>
      <c r="AV74" s="460">
        <v>0</v>
      </c>
      <c r="AW74" s="460">
        <v>0</v>
      </c>
      <c r="AX74" s="460">
        <v>0</v>
      </c>
      <c r="AY74" s="460">
        <v>-0.13131865171848001</v>
      </c>
      <c r="AZ74" s="460">
        <v>0</v>
      </c>
    </row>
    <row r="75" spans="1:52" x14ac:dyDescent="0.2">
      <c r="A75" s="588" t="s">
        <v>432</v>
      </c>
      <c r="B75" s="588" t="s">
        <v>233</v>
      </c>
      <c r="C75" s="588" t="s">
        <v>32</v>
      </c>
      <c r="D75" s="588">
        <v>12241807.5</v>
      </c>
      <c r="E75" s="588">
        <v>388.27781249999998</v>
      </c>
      <c r="F75" s="589">
        <v>1.7684793291670799</v>
      </c>
      <c r="G75" s="589">
        <v>2.0506895230197499</v>
      </c>
      <c r="H75" s="588">
        <v>0</v>
      </c>
      <c r="I75" s="588">
        <v>3004400.0737844701</v>
      </c>
      <c r="J75" s="588">
        <v>1698860.72414513</v>
      </c>
      <c r="K75" s="588">
        <v>1465068.23195758</v>
      </c>
      <c r="L75" s="460">
        <v>507499.63290573802</v>
      </c>
      <c r="M75" s="460">
        <v>1032951.271875</v>
      </c>
      <c r="N75" s="460">
        <v>1540450.9047807399</v>
      </c>
      <c r="O75" s="588">
        <v>54699.394650657399</v>
      </c>
      <c r="P75" s="588">
        <v>80608.552844005302</v>
      </c>
      <c r="Q75" s="588">
        <v>12062.4776490846</v>
      </c>
      <c r="R75" s="588">
        <v>349211.47636739898</v>
      </c>
      <c r="S75" s="592">
        <v>0</v>
      </c>
      <c r="T75" s="592">
        <v>0</v>
      </c>
      <c r="U75" s="592">
        <v>10917.731394591099</v>
      </c>
      <c r="V75" s="592">
        <v>0</v>
      </c>
      <c r="W75" s="592">
        <v>0</v>
      </c>
      <c r="X75" s="592">
        <v>0</v>
      </c>
      <c r="Y75" s="592">
        <v>0</v>
      </c>
      <c r="Z75" s="592">
        <v>0</v>
      </c>
      <c r="AA75" s="592">
        <v>1032951.271875</v>
      </c>
      <c r="AB75" s="592">
        <v>0</v>
      </c>
      <c r="AC75" s="592">
        <v>1310416.4755619999</v>
      </c>
      <c r="AD75" s="592">
        <v>0</v>
      </c>
      <c r="AE75" s="592">
        <v>124081.43447958599</v>
      </c>
      <c r="AF75" s="592">
        <v>51993670.465151601</v>
      </c>
      <c r="AG75" s="592">
        <v>35650067.875261404</v>
      </c>
      <c r="AH75" s="592">
        <v>0</v>
      </c>
      <c r="AI75" s="592">
        <v>0</v>
      </c>
      <c r="AJ75" s="460">
        <v>8.4274736426779906E-2</v>
      </c>
      <c r="AK75" s="460">
        <v>0</v>
      </c>
      <c r="AL75" s="460">
        <v>4.76537865254393E-2</v>
      </c>
      <c r="AM75" s="460">
        <v>3.3418199802814699E-2</v>
      </c>
      <c r="AN75" s="460">
        <v>4.1095804840647503E-2</v>
      </c>
      <c r="AO75" s="460">
        <v>2.6860218118022899E-2</v>
      </c>
      <c r="AP75" s="460">
        <v>0.195127010668282</v>
      </c>
      <c r="AQ75" s="460">
        <v>3.6620949901340599E-2</v>
      </c>
      <c r="AR75" s="460">
        <v>5.08565366239652E-2</v>
      </c>
      <c r="AS75" s="460">
        <v>4.3178931586132403E-2</v>
      </c>
      <c r="AT75" s="460">
        <v>5.7414518308756997E-2</v>
      </c>
      <c r="AU75" s="460">
        <v>0</v>
      </c>
      <c r="AV75" s="460">
        <v>0</v>
      </c>
      <c r="AW75" s="460">
        <v>0</v>
      </c>
      <c r="AX75" s="460">
        <v>0</v>
      </c>
      <c r="AY75" s="460">
        <v>-0.110852274241502</v>
      </c>
      <c r="AZ75" s="460">
        <v>0</v>
      </c>
    </row>
    <row r="76" spans="1:52" x14ac:dyDescent="0.2">
      <c r="A76" s="588" t="s">
        <v>424</v>
      </c>
      <c r="B76" s="588" t="s">
        <v>231</v>
      </c>
      <c r="C76" s="588" t="s">
        <v>35</v>
      </c>
      <c r="D76" s="588">
        <v>352834.75043956499</v>
      </c>
      <c r="E76" s="588">
        <v>63.6857984484</v>
      </c>
      <c r="F76" s="589">
        <v>0.14867495935382299</v>
      </c>
      <c r="G76" s="589">
        <v>0.15893431955617601</v>
      </c>
      <c r="H76" s="588">
        <v>583.37690600188296</v>
      </c>
      <c r="I76" s="588">
        <v>150075.68496824399</v>
      </c>
      <c r="J76" s="588">
        <v>1013345.23667634</v>
      </c>
      <c r="K76" s="588">
        <v>947932.84606471995</v>
      </c>
      <c r="L76" s="460">
        <v>614400.49701928895</v>
      </c>
      <c r="M76" s="460">
        <v>359789.01615933498</v>
      </c>
      <c r="N76" s="460">
        <v>974189.51317862398</v>
      </c>
      <c r="O76" s="588">
        <v>99558.018981144502</v>
      </c>
      <c r="P76" s="588">
        <v>50227.8258277606</v>
      </c>
      <c r="Q76" s="588">
        <v>0</v>
      </c>
      <c r="R76" s="588">
        <v>457384.124007751</v>
      </c>
      <c r="S76" s="592">
        <v>0</v>
      </c>
      <c r="T76" s="592">
        <v>0</v>
      </c>
      <c r="U76" s="592">
        <v>7230.5282026329696</v>
      </c>
      <c r="V76" s="592">
        <v>0</v>
      </c>
      <c r="W76" s="592">
        <v>0</v>
      </c>
      <c r="X76" s="592">
        <v>0</v>
      </c>
      <c r="Y76" s="592">
        <v>111284.974359335</v>
      </c>
      <c r="Z76" s="592">
        <v>248504.04180000001</v>
      </c>
      <c r="AA76" s="592">
        <v>0</v>
      </c>
      <c r="AB76" s="592">
        <v>0</v>
      </c>
      <c r="AC76" s="592">
        <v>432358.6298</v>
      </c>
      <c r="AD76" s="592">
        <v>8310.9979000000003</v>
      </c>
      <c r="AE76" s="592">
        <v>48528.3688527431</v>
      </c>
      <c r="AF76" s="592">
        <v>2271769.86299854</v>
      </c>
      <c r="AG76" s="592">
        <v>1475768.5758293699</v>
      </c>
      <c r="AH76" s="592">
        <v>-6.8703788907015506E-2</v>
      </c>
      <c r="AI76" s="592">
        <v>35.260931776803403</v>
      </c>
      <c r="AJ76" s="460">
        <v>0.101693237968496</v>
      </c>
      <c r="AK76" s="460">
        <v>16.544568637453299</v>
      </c>
      <c r="AL76" s="460">
        <v>0.68399707933655096</v>
      </c>
      <c r="AM76" s="460">
        <v>0.26928338621999298</v>
      </c>
      <c r="AN76" s="460">
        <v>0.63984442285639498</v>
      </c>
      <c r="AO76" s="460">
        <v>0.225130729739838</v>
      </c>
      <c r="AP76" s="460">
        <v>0.79615633245724304</v>
      </c>
      <c r="AQ76" s="460">
        <v>-0.58230384136805502</v>
      </c>
      <c r="AR76" s="460">
        <v>-0.16759014825149801</v>
      </c>
      <c r="AS76" s="460">
        <v>-0.53815118488789904</v>
      </c>
      <c r="AT76" s="460">
        <v>-0.123437491771342</v>
      </c>
      <c r="AU76" s="460">
        <v>-94.735560238048706</v>
      </c>
      <c r="AV76" s="460">
        <v>-27.2653990186339</v>
      </c>
      <c r="AW76" s="460">
        <v>-87.552322982016506</v>
      </c>
      <c r="AX76" s="460">
        <v>-20.0821617626018</v>
      </c>
      <c r="AY76" s="460">
        <v>-0.69446309448874699</v>
      </c>
      <c r="AZ76" s="460">
        <v>-112.98285473520799</v>
      </c>
    </row>
    <row r="77" spans="1:52" x14ac:dyDescent="0.2">
      <c r="A77" s="588" t="s">
        <v>439</v>
      </c>
      <c r="B77" s="588" t="s">
        <v>229</v>
      </c>
      <c r="C77" s="588" t="s">
        <v>218</v>
      </c>
      <c r="D77" s="588">
        <v>4682318.4712296696</v>
      </c>
      <c r="E77" s="588">
        <v>1330.75104154517</v>
      </c>
      <c r="F77" s="589">
        <v>0.60476404611490497</v>
      </c>
      <c r="G77" s="589">
        <v>0.98404723896925295</v>
      </c>
      <c r="H77" s="588">
        <v>0</v>
      </c>
      <c r="I77" s="588">
        <v>2186287.1805464001</v>
      </c>
      <c r="J77" s="588">
        <v>3615107.7343162699</v>
      </c>
      <c r="K77" s="588">
        <v>2221729.9068248402</v>
      </c>
      <c r="L77" s="460">
        <v>1807161.5482457699</v>
      </c>
      <c r="M77" s="460">
        <v>447204.42347149103</v>
      </c>
      <c r="N77" s="460">
        <v>2254365.9717172598</v>
      </c>
      <c r="O77" s="588">
        <v>92481.984187525901</v>
      </c>
      <c r="P77" s="588">
        <v>37131.314712327701</v>
      </c>
      <c r="Q77" s="588">
        <v>26773.1268568741</v>
      </c>
      <c r="R77" s="588">
        <v>1650775.12248904</v>
      </c>
      <c r="S77" s="592">
        <v>0</v>
      </c>
      <c r="T77" s="592">
        <v>0</v>
      </c>
      <c r="U77" s="592">
        <v>0</v>
      </c>
      <c r="V77" s="592">
        <v>0</v>
      </c>
      <c r="W77" s="592">
        <v>0</v>
      </c>
      <c r="X77" s="592">
        <v>0</v>
      </c>
      <c r="Y77" s="592">
        <v>0</v>
      </c>
      <c r="Z77" s="592">
        <v>0</v>
      </c>
      <c r="AA77" s="592">
        <v>447204.42347149103</v>
      </c>
      <c r="AB77" s="592">
        <v>0</v>
      </c>
      <c r="AC77" s="592">
        <v>2200381.73137161</v>
      </c>
      <c r="AD77" s="592">
        <v>0</v>
      </c>
      <c r="AE77" s="592">
        <v>1393049.6236364599</v>
      </c>
      <c r="AF77" s="592">
        <v>28418280.2334553</v>
      </c>
      <c r="AG77" s="592">
        <v>23638465.6052824</v>
      </c>
      <c r="AH77" s="592">
        <v>0</v>
      </c>
      <c r="AI77" s="592">
        <v>0</v>
      </c>
      <c r="AJ77" s="460">
        <v>9.2488540375388603E-2</v>
      </c>
      <c r="AK77" s="460">
        <v>0</v>
      </c>
      <c r="AL77" s="460">
        <v>0.15293326541078101</v>
      </c>
      <c r="AM77" s="460">
        <v>7.6483229337292E-2</v>
      </c>
      <c r="AN77" s="460">
        <v>9.3987906995467399E-2</v>
      </c>
      <c r="AO77" s="460">
        <v>1.7537870921978501E-2</v>
      </c>
      <c r="AP77" s="460">
        <v>0.251767121678173</v>
      </c>
      <c r="AQ77" s="460">
        <v>-6.0444725035392402E-2</v>
      </c>
      <c r="AR77" s="460">
        <v>1.60053110380966E-2</v>
      </c>
      <c r="AS77" s="460">
        <v>-1.4993666200787501E-3</v>
      </c>
      <c r="AT77" s="460">
        <v>7.4950669453410196E-2</v>
      </c>
      <c r="AU77" s="460">
        <v>0</v>
      </c>
      <c r="AV77" s="460">
        <v>0</v>
      </c>
      <c r="AW77" s="460">
        <v>0</v>
      </c>
      <c r="AX77" s="460">
        <v>0</v>
      </c>
      <c r="AY77" s="460">
        <v>-0.15927858130278399</v>
      </c>
      <c r="AZ77" s="460">
        <v>0</v>
      </c>
    </row>
    <row r="78" spans="1:52" x14ac:dyDescent="0.2">
      <c r="A78" s="588" t="s">
        <v>425</v>
      </c>
      <c r="B78" s="588" t="s">
        <v>229</v>
      </c>
      <c r="C78" s="588" t="s">
        <v>36</v>
      </c>
      <c r="D78" s="588">
        <v>10725774.1282</v>
      </c>
      <c r="E78" s="588">
        <v>397.83749999999998</v>
      </c>
      <c r="F78" s="589">
        <v>1.30000659844385</v>
      </c>
      <c r="G78" s="589">
        <v>4.0239045233356601</v>
      </c>
      <c r="H78" s="588">
        <v>0</v>
      </c>
      <c r="I78" s="588">
        <v>6856690.6507092398</v>
      </c>
      <c r="J78" s="588">
        <v>5274350.6524635302</v>
      </c>
      <c r="K78" s="588">
        <v>1703989.3990887499</v>
      </c>
      <c r="L78" s="460">
        <v>853226.45507439296</v>
      </c>
      <c r="M78" s="460">
        <v>917737.55525600002</v>
      </c>
      <c r="N78" s="460">
        <v>1770964.01033039</v>
      </c>
      <c r="O78" s="588">
        <v>63504.102115323803</v>
      </c>
      <c r="P78" s="588">
        <v>101668.349795542</v>
      </c>
      <c r="Q78" s="588">
        <v>13090.9453089333</v>
      </c>
      <c r="R78" s="588">
        <v>566084.70805887401</v>
      </c>
      <c r="S78" s="592">
        <v>0</v>
      </c>
      <c r="T78" s="592">
        <v>0</v>
      </c>
      <c r="U78" s="592">
        <v>108878.34979572</v>
      </c>
      <c r="V78" s="592">
        <v>0</v>
      </c>
      <c r="W78" s="592">
        <v>0</v>
      </c>
      <c r="X78" s="592">
        <v>0</v>
      </c>
      <c r="Y78" s="592">
        <v>0</v>
      </c>
      <c r="Z78" s="592">
        <v>0</v>
      </c>
      <c r="AA78" s="592">
        <v>917737.55525600002</v>
      </c>
      <c r="AB78" s="592">
        <v>0</v>
      </c>
      <c r="AC78" s="592">
        <v>5394848.0547399996</v>
      </c>
      <c r="AD78" s="592">
        <v>0</v>
      </c>
      <c r="AE78" s="592">
        <v>3581688.3995872</v>
      </c>
      <c r="AF78" s="592">
        <v>56102058.395122699</v>
      </c>
      <c r="AG78" s="592">
        <v>47686749.635854296</v>
      </c>
      <c r="AH78" s="592">
        <v>0</v>
      </c>
      <c r="AI78" s="592">
        <v>0</v>
      </c>
      <c r="AJ78" s="460">
        <v>0.143786076909589</v>
      </c>
      <c r="AK78" s="460">
        <v>0</v>
      </c>
      <c r="AL78" s="460">
        <v>0.11060411314966</v>
      </c>
      <c r="AM78" s="460">
        <v>9.2711795858382906E-2</v>
      </c>
      <c r="AN78" s="460">
        <v>3.57329742979079E-2</v>
      </c>
      <c r="AO78" s="460">
        <v>1.78406570066309E-2</v>
      </c>
      <c r="AP78" s="460">
        <v>0.18975156249073299</v>
      </c>
      <c r="AQ78" s="460">
        <v>3.3181963759928698E-2</v>
      </c>
      <c r="AR78" s="460">
        <v>5.1074281051205699E-2</v>
      </c>
      <c r="AS78" s="460">
        <v>0.108053102611681</v>
      </c>
      <c r="AT78" s="460">
        <v>0.12594541990295799</v>
      </c>
      <c r="AU78" s="460">
        <v>0</v>
      </c>
      <c r="AV78" s="460">
        <v>0</v>
      </c>
      <c r="AW78" s="460">
        <v>0</v>
      </c>
      <c r="AX78" s="460">
        <v>0</v>
      </c>
      <c r="AY78" s="460">
        <v>-4.5965485581144598E-2</v>
      </c>
      <c r="AZ78" s="460">
        <v>0</v>
      </c>
    </row>
    <row r="79" spans="1:52" x14ac:dyDescent="0.2">
      <c r="A79" s="588" t="s">
        <v>441</v>
      </c>
      <c r="B79" s="588" t="s">
        <v>231</v>
      </c>
      <c r="C79" s="588" t="s">
        <v>216</v>
      </c>
      <c r="D79" s="588">
        <v>6033720.1210000003</v>
      </c>
      <c r="E79" s="588">
        <v>359.45507014999998</v>
      </c>
      <c r="F79" s="589">
        <v>1.4921297339987001</v>
      </c>
      <c r="G79" s="589">
        <v>2.0662376383030199</v>
      </c>
      <c r="H79" s="588">
        <v>0</v>
      </c>
      <c r="I79" s="588">
        <v>2219942.85307938</v>
      </c>
      <c r="J79" s="588">
        <v>1487767.98859859</v>
      </c>
      <c r="K79" s="588">
        <v>1074388.9337446201</v>
      </c>
      <c r="L79" s="460">
        <v>565215.80032667995</v>
      </c>
      <c r="M79" s="460">
        <v>549256.77</v>
      </c>
      <c r="N79" s="460">
        <v>1114472.5703266801</v>
      </c>
      <c r="O79" s="588">
        <v>47282.975833709301</v>
      </c>
      <c r="P79" s="588">
        <v>38246.617560163599</v>
      </c>
      <c r="Q79" s="588">
        <v>44783.482706474097</v>
      </c>
      <c r="R79" s="588">
        <v>434902.72422633303</v>
      </c>
      <c r="S79" s="592">
        <v>0</v>
      </c>
      <c r="T79" s="592">
        <v>0</v>
      </c>
      <c r="U79" s="592">
        <v>0</v>
      </c>
      <c r="V79" s="592">
        <v>0</v>
      </c>
      <c r="W79" s="592">
        <v>0</v>
      </c>
      <c r="X79" s="592">
        <v>0</v>
      </c>
      <c r="Y79" s="592">
        <v>0</v>
      </c>
      <c r="Z79" s="592">
        <v>0</v>
      </c>
      <c r="AA79" s="592">
        <v>549256.77</v>
      </c>
      <c r="AB79" s="592">
        <v>0</v>
      </c>
      <c r="AC79" s="592">
        <v>694779.45397653396</v>
      </c>
      <c r="AD79" s="592">
        <v>0</v>
      </c>
      <c r="AE79" s="592">
        <v>87212.786957650998</v>
      </c>
      <c r="AF79" s="592">
        <v>32450686.367586602</v>
      </c>
      <c r="AG79" s="592">
        <v>24943744.271671701</v>
      </c>
      <c r="AH79" s="592">
        <v>0</v>
      </c>
      <c r="AI79" s="592">
        <v>0</v>
      </c>
      <c r="AJ79" s="460">
        <v>8.89979799704948E-2</v>
      </c>
      <c r="AK79" s="460">
        <v>0</v>
      </c>
      <c r="AL79" s="460">
        <v>5.96449343127778E-2</v>
      </c>
      <c r="AM79" s="460">
        <v>3.6985312959595902E-2</v>
      </c>
      <c r="AN79" s="460">
        <v>4.3072480299791598E-2</v>
      </c>
      <c r="AO79" s="460">
        <v>2.04128589466098E-2</v>
      </c>
      <c r="AP79" s="460">
        <v>0.20017641220250601</v>
      </c>
      <c r="AQ79" s="460">
        <v>2.9353045657717E-2</v>
      </c>
      <c r="AR79" s="460">
        <v>5.2012667010898898E-2</v>
      </c>
      <c r="AS79" s="460">
        <v>4.5925499670703203E-2</v>
      </c>
      <c r="AT79" s="460">
        <v>6.8585121023885101E-2</v>
      </c>
      <c r="AU79" s="460">
        <v>0</v>
      </c>
      <c r="AV79" s="460">
        <v>0</v>
      </c>
      <c r="AW79" s="460">
        <v>0</v>
      </c>
      <c r="AX79" s="460">
        <v>0</v>
      </c>
      <c r="AY79" s="460">
        <v>-0.111178432232011</v>
      </c>
      <c r="AZ79" s="460">
        <v>0</v>
      </c>
    </row>
    <row r="80" spans="1:52" x14ac:dyDescent="0.2">
      <c r="A80" s="588" t="s">
        <v>435</v>
      </c>
      <c r="B80" s="588" t="s">
        <v>233</v>
      </c>
      <c r="C80" s="588" t="s">
        <v>217</v>
      </c>
      <c r="D80" s="588">
        <v>9127841.0225982107</v>
      </c>
      <c r="E80" s="588">
        <v>1388.90355404517</v>
      </c>
      <c r="F80" s="589">
        <v>1.1537377702618801</v>
      </c>
      <c r="G80" s="589">
        <v>2.5206929879501501</v>
      </c>
      <c r="H80" s="588">
        <v>0</v>
      </c>
      <c r="I80" s="588">
        <v>4222598.28421978</v>
      </c>
      <c r="J80" s="588">
        <v>3659928.96571405</v>
      </c>
      <c r="K80" s="588">
        <v>1675173.57504677</v>
      </c>
      <c r="L80" s="460">
        <v>931186.662409349</v>
      </c>
      <c r="M80" s="460">
        <v>802555.79436097399</v>
      </c>
      <c r="N80" s="460">
        <v>1733742.45677032</v>
      </c>
      <c r="O80" s="588">
        <v>72081.842154670507</v>
      </c>
      <c r="P80" s="588">
        <v>43483.993544217301</v>
      </c>
      <c r="Q80" s="588">
        <v>50344.2305888337</v>
      </c>
      <c r="R80" s="588">
        <v>641825.74626207398</v>
      </c>
      <c r="S80" s="592">
        <v>0</v>
      </c>
      <c r="T80" s="592">
        <v>0</v>
      </c>
      <c r="U80" s="592">
        <v>123450.849859553</v>
      </c>
      <c r="V80" s="592">
        <v>0</v>
      </c>
      <c r="W80" s="592">
        <v>0</v>
      </c>
      <c r="X80" s="592">
        <v>0</v>
      </c>
      <c r="Y80" s="592">
        <v>0</v>
      </c>
      <c r="Z80" s="592">
        <v>0</v>
      </c>
      <c r="AA80" s="592">
        <v>802555.79436097399</v>
      </c>
      <c r="AB80" s="592">
        <v>0</v>
      </c>
      <c r="AC80" s="592">
        <v>3325674.0451833298</v>
      </c>
      <c r="AD80" s="592">
        <v>0</v>
      </c>
      <c r="AE80" s="592">
        <v>1974717.5870276201</v>
      </c>
      <c r="AF80" s="592">
        <v>56681442.706442103</v>
      </c>
      <c r="AG80" s="592">
        <v>45398244.632525504</v>
      </c>
      <c r="AH80" s="592">
        <v>0</v>
      </c>
      <c r="AI80" s="592">
        <v>0</v>
      </c>
      <c r="AJ80" s="460">
        <v>9.3012369055223407E-2</v>
      </c>
      <c r="AK80" s="460">
        <v>0</v>
      </c>
      <c r="AL80" s="460">
        <v>8.06182925207619E-2</v>
      </c>
      <c r="AM80" s="460">
        <v>6.0106780017430403E-2</v>
      </c>
      <c r="AN80" s="460">
        <v>3.6899523067607597E-2</v>
      </c>
      <c r="AO80" s="460">
        <v>1.63880105642761E-2</v>
      </c>
      <c r="AP80" s="460">
        <v>0.194958584901261</v>
      </c>
      <c r="AQ80" s="460">
        <v>1.23940765344615E-2</v>
      </c>
      <c r="AR80" s="460">
        <v>3.2905589037792997E-2</v>
      </c>
      <c r="AS80" s="460">
        <v>5.6112845987615803E-2</v>
      </c>
      <c r="AT80" s="460">
        <v>7.66243584909473E-2</v>
      </c>
      <c r="AU80" s="460">
        <v>0</v>
      </c>
      <c r="AV80" s="460">
        <v>0</v>
      </c>
      <c r="AW80" s="460">
        <v>0</v>
      </c>
      <c r="AX80" s="460">
        <v>0</v>
      </c>
      <c r="AY80" s="460">
        <v>-0.101946215846038</v>
      </c>
      <c r="AZ80" s="460">
        <v>0</v>
      </c>
    </row>
    <row r="81" spans="1:52" x14ac:dyDescent="0.2">
      <c r="A81" s="588" t="s">
        <v>545</v>
      </c>
      <c r="B81" s="588" t="s">
        <v>228</v>
      </c>
      <c r="C81" s="588" t="s">
        <v>546</v>
      </c>
      <c r="D81" s="588">
        <v>94458964.956478104</v>
      </c>
      <c r="E81" s="588">
        <v>40623.279685560599</v>
      </c>
      <c r="F81" s="589">
        <v>1.53951126259008</v>
      </c>
      <c r="G81" s="589">
        <v>2.1901714342092902</v>
      </c>
      <c r="H81" s="588">
        <v>0</v>
      </c>
      <c r="I81" s="588">
        <v>70779221.960816503</v>
      </c>
      <c r="J81" s="588">
        <v>45975124.496158302</v>
      </c>
      <c r="K81" s="588">
        <v>32316749.664105501</v>
      </c>
      <c r="L81" s="460">
        <v>5000000</v>
      </c>
      <c r="M81" s="460">
        <v>29467206.147912901</v>
      </c>
      <c r="N81" s="460">
        <v>34467206.147912897</v>
      </c>
      <c r="O81" s="588">
        <v>1000000</v>
      </c>
      <c r="P81" s="588">
        <v>1000000</v>
      </c>
      <c r="Q81" s="588">
        <v>0</v>
      </c>
      <c r="R81" s="588">
        <v>3000000</v>
      </c>
      <c r="S81" s="592">
        <v>0</v>
      </c>
      <c r="T81" s="592">
        <v>0</v>
      </c>
      <c r="U81" s="592">
        <v>0</v>
      </c>
      <c r="V81" s="592">
        <v>0</v>
      </c>
      <c r="W81" s="592">
        <v>0</v>
      </c>
      <c r="X81" s="592">
        <v>0</v>
      </c>
      <c r="Y81" s="592">
        <v>0</v>
      </c>
      <c r="Z81" s="592">
        <v>0</v>
      </c>
      <c r="AA81" s="592">
        <v>29467206.147912901</v>
      </c>
      <c r="AB81" s="592">
        <v>0</v>
      </c>
      <c r="AC81" s="592">
        <v>44200809.221869297</v>
      </c>
      <c r="AD81" s="592">
        <v>0</v>
      </c>
      <c r="AE81" s="592">
        <v>12523562.612863</v>
      </c>
      <c r="AF81" s="592">
        <v>642629283.47472596</v>
      </c>
      <c r="AG81" s="592">
        <v>578366355.12725306</v>
      </c>
      <c r="AH81" s="592">
        <v>0</v>
      </c>
      <c r="AI81" s="592">
        <v>0</v>
      </c>
      <c r="AJ81" s="460">
        <v>0.12237783427987201</v>
      </c>
      <c r="AK81" s="460">
        <v>0</v>
      </c>
      <c r="AL81" s="460">
        <v>7.9491353687132699E-2</v>
      </c>
      <c r="AM81" s="460">
        <v>7.0846314162141905E-2</v>
      </c>
      <c r="AN81" s="460">
        <v>5.5875915633085402E-2</v>
      </c>
      <c r="AO81" s="460">
        <v>4.7230876108094601E-2</v>
      </c>
      <c r="AP81" s="460">
        <v>0.212242804173887</v>
      </c>
      <c r="AQ81" s="460">
        <v>4.2886480592739203E-2</v>
      </c>
      <c r="AR81" s="460">
        <v>5.1531520117730101E-2</v>
      </c>
      <c r="AS81" s="460">
        <v>6.6501918646786506E-2</v>
      </c>
      <c r="AT81" s="460">
        <v>7.5146958171777398E-2</v>
      </c>
      <c r="AU81" s="460">
        <v>0</v>
      </c>
      <c r="AV81" s="460">
        <v>0</v>
      </c>
      <c r="AW81" s="460">
        <v>0</v>
      </c>
      <c r="AX81" s="460">
        <v>0</v>
      </c>
      <c r="AY81" s="460">
        <v>-8.9864969894015198E-2</v>
      </c>
      <c r="AZ81" s="460">
        <v>0</v>
      </c>
    </row>
    <row r="82" spans="1:52" x14ac:dyDescent="0.2">
      <c r="A82" s="588" t="s">
        <v>547</v>
      </c>
      <c r="B82" s="588" t="s">
        <v>228</v>
      </c>
      <c r="C82" s="588" t="s">
        <v>548</v>
      </c>
      <c r="D82" s="588">
        <v>28418776.286837</v>
      </c>
      <c r="E82" s="588">
        <v>12221.8563156337</v>
      </c>
      <c r="F82" s="589">
        <v>1.22892890539129</v>
      </c>
      <c r="G82" s="589">
        <v>1.61096697207719</v>
      </c>
      <c r="H82" s="588">
        <v>0</v>
      </c>
      <c r="I82" s="588">
        <v>21294525.8884385</v>
      </c>
      <c r="J82" s="588">
        <v>17327711.794408798</v>
      </c>
      <c r="K82" s="588">
        <v>13218474.5296058</v>
      </c>
      <c r="L82" s="460">
        <v>5000000</v>
      </c>
      <c r="M82" s="460">
        <v>8865457.5</v>
      </c>
      <c r="N82" s="460">
        <v>13865457.5</v>
      </c>
      <c r="O82" s="588">
        <v>1000000</v>
      </c>
      <c r="P82" s="588">
        <v>1000000</v>
      </c>
      <c r="Q82" s="588">
        <v>0</v>
      </c>
      <c r="R82" s="588">
        <v>3000000</v>
      </c>
      <c r="S82" s="592">
        <v>0</v>
      </c>
      <c r="T82" s="592">
        <v>0</v>
      </c>
      <c r="U82" s="592">
        <v>0</v>
      </c>
      <c r="V82" s="592">
        <v>0</v>
      </c>
      <c r="W82" s="592">
        <v>0</v>
      </c>
      <c r="X82" s="592">
        <v>0</v>
      </c>
      <c r="Y82" s="592">
        <v>0</v>
      </c>
      <c r="Z82" s="592">
        <v>0</v>
      </c>
      <c r="AA82" s="592">
        <v>8865457.5</v>
      </c>
      <c r="AB82" s="592">
        <v>0</v>
      </c>
      <c r="AC82" s="592">
        <v>13298186.25</v>
      </c>
      <c r="AD82" s="592">
        <v>0</v>
      </c>
      <c r="AE82" s="592">
        <v>3767819.4375</v>
      </c>
      <c r="AF82" s="592">
        <v>193340439.95562699</v>
      </c>
      <c r="AG82" s="592">
        <v>174006395.96006399</v>
      </c>
      <c r="AH82" s="592">
        <v>0</v>
      </c>
      <c r="AI82" s="592">
        <v>0</v>
      </c>
      <c r="AJ82" s="460">
        <v>0.12237783427987201</v>
      </c>
      <c r="AK82" s="460">
        <v>0</v>
      </c>
      <c r="AL82" s="460">
        <v>9.9580890109267003E-2</v>
      </c>
      <c r="AM82" s="460">
        <v>7.0846314162141794E-2</v>
      </c>
      <c r="AN82" s="460">
        <v>7.5965452055219707E-2</v>
      </c>
      <c r="AO82" s="460">
        <v>4.7230876108094601E-2</v>
      </c>
      <c r="AP82" s="460">
        <v>0.23233234059602101</v>
      </c>
      <c r="AQ82" s="460">
        <v>2.2796944170604901E-2</v>
      </c>
      <c r="AR82" s="460">
        <v>5.1531520117730101E-2</v>
      </c>
      <c r="AS82" s="460">
        <v>4.6412382224652202E-2</v>
      </c>
      <c r="AT82" s="460">
        <v>7.5146958171777398E-2</v>
      </c>
      <c r="AU82" s="460">
        <v>0</v>
      </c>
      <c r="AV82" s="460">
        <v>0</v>
      </c>
      <c r="AW82" s="460">
        <v>0</v>
      </c>
      <c r="AX82" s="460">
        <v>0</v>
      </c>
      <c r="AY82" s="460">
        <v>-0.10995450631615</v>
      </c>
      <c r="AZ82" s="460">
        <v>0</v>
      </c>
    </row>
    <row r="83" spans="1:52" x14ac:dyDescent="0.2">
      <c r="A83" s="588" t="s">
        <v>447</v>
      </c>
      <c r="B83" s="588" t="s">
        <v>225</v>
      </c>
      <c r="C83" s="588" t="s">
        <v>94</v>
      </c>
      <c r="D83" s="588">
        <v>0</v>
      </c>
      <c r="E83" s="588">
        <v>0</v>
      </c>
      <c r="F83" s="589">
        <v>0</v>
      </c>
      <c r="G83" s="589">
        <v>0</v>
      </c>
      <c r="H83" s="588">
        <v>0</v>
      </c>
      <c r="I83" s="588">
        <v>0</v>
      </c>
      <c r="J83" s="588">
        <v>4329993.3528762199</v>
      </c>
      <c r="K83" s="588">
        <v>4329993.3528762199</v>
      </c>
      <c r="L83" s="460">
        <v>4329993.3528762199</v>
      </c>
      <c r="M83" s="460">
        <v>0</v>
      </c>
      <c r="N83" s="460">
        <v>4329993.3528762199</v>
      </c>
      <c r="O83" s="588">
        <v>0</v>
      </c>
      <c r="P83" s="588">
        <v>0</v>
      </c>
      <c r="Q83" s="588">
        <v>0</v>
      </c>
      <c r="R83" s="588">
        <v>0</v>
      </c>
      <c r="S83" s="592">
        <v>0</v>
      </c>
      <c r="T83" s="592">
        <v>0</v>
      </c>
      <c r="U83" s="592">
        <v>0</v>
      </c>
      <c r="V83" s="592">
        <v>4329993.3528762199</v>
      </c>
      <c r="W83" s="592">
        <v>0</v>
      </c>
      <c r="X83" s="592">
        <v>0</v>
      </c>
      <c r="Y83" s="592">
        <v>0</v>
      </c>
      <c r="Z83" s="592">
        <v>0</v>
      </c>
      <c r="AA83" s="592">
        <v>0</v>
      </c>
      <c r="AB83" s="592">
        <v>0</v>
      </c>
      <c r="AC83" s="592">
        <v>0</v>
      </c>
      <c r="AD83" s="592">
        <v>0</v>
      </c>
      <c r="AE83" s="592">
        <v>0</v>
      </c>
      <c r="AF83" s="592">
        <v>0</v>
      </c>
      <c r="AG83" s="592">
        <v>0</v>
      </c>
      <c r="AH83" s="592">
        <v>0</v>
      </c>
      <c r="AI83" s="592">
        <v>0</v>
      </c>
      <c r="AJ83" s="460">
        <v>0</v>
      </c>
      <c r="AK83" s="460">
        <v>0</v>
      </c>
      <c r="AL83" s="460">
        <v>0</v>
      </c>
      <c r="AM83" s="460">
        <v>0</v>
      </c>
      <c r="AN83" s="460">
        <v>0</v>
      </c>
      <c r="AO83" s="460">
        <v>0</v>
      </c>
      <c r="AP83" s="460">
        <v>0</v>
      </c>
      <c r="AQ83" s="460">
        <v>0</v>
      </c>
      <c r="AR83" s="460">
        <v>0</v>
      </c>
      <c r="AS83" s="460">
        <v>0</v>
      </c>
      <c r="AT83" s="460">
        <v>0</v>
      </c>
      <c r="AU83" s="460">
        <v>0</v>
      </c>
      <c r="AV83" s="460">
        <v>0</v>
      </c>
      <c r="AW83" s="460">
        <v>0</v>
      </c>
      <c r="AX83" s="460">
        <v>0</v>
      </c>
      <c r="AY83" s="460">
        <v>0</v>
      </c>
      <c r="AZ83" s="460">
        <v>0</v>
      </c>
    </row>
    <row r="84" spans="1:52" x14ac:dyDescent="0.2">
      <c r="A84" s="588" t="s">
        <v>445</v>
      </c>
      <c r="B84" s="588" t="s">
        <v>225</v>
      </c>
      <c r="C84" s="588" t="s">
        <v>95</v>
      </c>
      <c r="D84" s="588">
        <v>0</v>
      </c>
      <c r="E84" s="588">
        <v>0</v>
      </c>
      <c r="F84" s="589">
        <v>0</v>
      </c>
      <c r="G84" s="589">
        <v>0</v>
      </c>
      <c r="H84" s="588">
        <v>0</v>
      </c>
      <c r="I84" s="588">
        <v>0</v>
      </c>
      <c r="J84" s="588">
        <v>6494990.0293143298</v>
      </c>
      <c r="K84" s="588">
        <v>6494990.0293143298</v>
      </c>
      <c r="L84" s="460">
        <v>6494990.0293143298</v>
      </c>
      <c r="M84" s="460">
        <v>0</v>
      </c>
      <c r="N84" s="460">
        <v>6494990.0293143298</v>
      </c>
      <c r="O84" s="588">
        <v>0</v>
      </c>
      <c r="P84" s="588">
        <v>0</v>
      </c>
      <c r="Q84" s="588">
        <v>0</v>
      </c>
      <c r="R84" s="588">
        <v>0</v>
      </c>
      <c r="S84" s="592">
        <v>0</v>
      </c>
      <c r="T84" s="592">
        <v>0</v>
      </c>
      <c r="U84" s="592">
        <v>0</v>
      </c>
      <c r="V84" s="592">
        <v>6494990.0293143298</v>
      </c>
      <c r="W84" s="592">
        <v>0</v>
      </c>
      <c r="X84" s="592">
        <v>0</v>
      </c>
      <c r="Y84" s="592">
        <v>0</v>
      </c>
      <c r="Z84" s="592">
        <v>0</v>
      </c>
      <c r="AA84" s="592">
        <v>0</v>
      </c>
      <c r="AB84" s="592">
        <v>0</v>
      </c>
      <c r="AC84" s="592">
        <v>0</v>
      </c>
      <c r="AD84" s="592">
        <v>0</v>
      </c>
      <c r="AE84" s="592">
        <v>0</v>
      </c>
      <c r="AF84" s="592">
        <v>0</v>
      </c>
      <c r="AG84" s="592">
        <v>0</v>
      </c>
      <c r="AH84" s="592">
        <v>0</v>
      </c>
      <c r="AI84" s="592">
        <v>0</v>
      </c>
      <c r="AJ84" s="460">
        <v>0</v>
      </c>
      <c r="AK84" s="460">
        <v>0</v>
      </c>
      <c r="AL84" s="460">
        <v>0</v>
      </c>
      <c r="AM84" s="460">
        <v>0</v>
      </c>
      <c r="AN84" s="460">
        <v>0</v>
      </c>
      <c r="AO84" s="460">
        <v>0</v>
      </c>
      <c r="AP84" s="460">
        <v>0</v>
      </c>
      <c r="AQ84" s="460">
        <v>0</v>
      </c>
      <c r="AR84" s="460">
        <v>0</v>
      </c>
      <c r="AS84" s="460">
        <v>0</v>
      </c>
      <c r="AT84" s="460">
        <v>0</v>
      </c>
      <c r="AU84" s="460">
        <v>0</v>
      </c>
      <c r="AV84" s="460">
        <v>0</v>
      </c>
      <c r="AW84" s="460">
        <v>0</v>
      </c>
      <c r="AX84" s="460">
        <v>0</v>
      </c>
      <c r="AY84" s="460">
        <v>0</v>
      </c>
      <c r="AZ84" s="460">
        <v>0</v>
      </c>
    </row>
    <row r="85" spans="1:52" x14ac:dyDescent="0.2">
      <c r="O85" s="588"/>
      <c r="P85" s="588"/>
      <c r="Q85" s="588"/>
      <c r="R85" s="588"/>
      <c r="S85" s="593"/>
      <c r="T85" s="593"/>
      <c r="U85" s="588"/>
    </row>
    <row r="86" spans="1:52" x14ac:dyDescent="0.2">
      <c r="O86" s="588"/>
      <c r="P86" s="588"/>
      <c r="Q86" s="588"/>
      <c r="R86" s="588"/>
      <c r="S86" s="593"/>
      <c r="T86" s="593"/>
      <c r="U86" s="588"/>
    </row>
    <row r="87" spans="1:52" x14ac:dyDescent="0.2">
      <c r="O87" s="588"/>
      <c r="P87" s="588"/>
      <c r="Q87" s="588"/>
      <c r="R87" s="588"/>
      <c r="S87" s="593"/>
      <c r="T87" s="593"/>
      <c r="U87" s="588"/>
    </row>
    <row r="88" spans="1:52" x14ac:dyDescent="0.2">
      <c r="O88" s="588"/>
      <c r="P88" s="588"/>
      <c r="Q88" s="588"/>
      <c r="R88" s="588"/>
      <c r="S88" s="593"/>
      <c r="T88" s="593"/>
      <c r="U88" s="588"/>
    </row>
  </sheetData>
  <autoFilter ref="A1:G8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9"/>
  <sheetViews>
    <sheetView topLeftCell="AA1" zoomScale="90" zoomScaleNormal="90" zoomScalePageLayoutView="90" workbookViewId="0">
      <pane ySplit="1" topLeftCell="A68" activePane="bottomLeft" state="frozen"/>
      <selection pane="bottomLeft" activeCell="I88" sqref="I88"/>
    </sheetView>
  </sheetViews>
  <sheetFormatPr baseColWidth="10" defaultColWidth="8.83203125" defaultRowHeight="15" x14ac:dyDescent="0.2"/>
  <cols>
    <col min="1" max="1" width="17.1640625" style="187" bestFit="1" customWidth="1"/>
    <col min="2" max="2" width="17.5" style="187" bestFit="1" customWidth="1"/>
    <col min="3" max="3" width="54.5" style="187" bestFit="1" customWidth="1"/>
    <col min="4" max="4" width="19.33203125" style="189" bestFit="1" customWidth="1"/>
    <col min="5" max="5" width="24.33203125" style="189" bestFit="1" customWidth="1"/>
    <col min="6" max="6" width="17.5" style="187" bestFit="1" customWidth="1"/>
    <col min="7" max="7" width="13.1640625" style="187" bestFit="1" customWidth="1"/>
    <col min="8" max="8" width="13.1640625" style="187" customWidth="1"/>
    <col min="9" max="9" width="13.83203125" style="187" bestFit="1" customWidth="1"/>
    <col min="10" max="10" width="14.33203125" style="187" customWidth="1"/>
    <col min="11" max="11" width="10" style="187" bestFit="1" customWidth="1"/>
    <col min="12" max="13" width="23.83203125" style="460" customWidth="1"/>
    <col min="14" max="18" width="15.83203125" style="460" customWidth="1"/>
    <col min="19" max="20" width="15.83203125" style="594" customWidth="1"/>
    <col min="21" max="28" width="15.83203125" style="460" customWidth="1"/>
    <col min="29" max="29" width="19.1640625" style="460" bestFit="1" customWidth="1"/>
    <col min="30" max="35" width="15.83203125" style="460" customWidth="1"/>
    <col min="36" max="52" width="8.83203125" style="460"/>
    <col min="53" max="16384" width="8.83203125" style="187"/>
  </cols>
  <sheetData>
    <row r="1" spans="1:52" x14ac:dyDescent="0.2">
      <c r="A1" s="585" t="s">
        <v>103</v>
      </c>
      <c r="B1" s="585" t="s">
        <v>221</v>
      </c>
      <c r="C1" s="585" t="s">
        <v>535</v>
      </c>
      <c r="D1" s="586" t="s">
        <v>536</v>
      </c>
      <c r="E1" s="586" t="s">
        <v>537</v>
      </c>
      <c r="F1" s="585" t="s">
        <v>538</v>
      </c>
      <c r="G1" s="585" t="s">
        <v>539</v>
      </c>
      <c r="H1" s="585" t="s">
        <v>598</v>
      </c>
      <c r="I1" s="585" t="s">
        <v>610</v>
      </c>
      <c r="J1" s="587" t="s">
        <v>203</v>
      </c>
      <c r="K1" s="587" t="s">
        <v>213</v>
      </c>
      <c r="L1" s="585" t="s">
        <v>551</v>
      </c>
      <c r="M1" s="590" t="s">
        <v>552</v>
      </c>
      <c r="N1" s="590" t="s">
        <v>553</v>
      </c>
      <c r="O1" s="585" t="s">
        <v>554</v>
      </c>
      <c r="P1" s="585" t="s">
        <v>555</v>
      </c>
      <c r="Q1" s="585" t="s">
        <v>556</v>
      </c>
      <c r="R1" s="585" t="s">
        <v>557</v>
      </c>
      <c r="S1" s="585" t="s">
        <v>558</v>
      </c>
      <c r="T1" s="585" t="s">
        <v>559</v>
      </c>
      <c r="U1" s="585" t="s">
        <v>560</v>
      </c>
      <c r="V1" s="585" t="s">
        <v>561</v>
      </c>
      <c r="W1" s="585" t="s">
        <v>562</v>
      </c>
      <c r="X1" s="585" t="s">
        <v>563</v>
      </c>
      <c r="Y1" s="585" t="s">
        <v>564</v>
      </c>
      <c r="Z1" s="585" t="s">
        <v>565</v>
      </c>
      <c r="AA1" s="585" t="s">
        <v>566</v>
      </c>
      <c r="AB1" s="585" t="s">
        <v>567</v>
      </c>
      <c r="AC1" s="585" t="s">
        <v>568</v>
      </c>
      <c r="AD1" s="585" t="s">
        <v>569</v>
      </c>
      <c r="AE1" s="585" t="s">
        <v>570</v>
      </c>
      <c r="AF1" s="585" t="s">
        <v>571</v>
      </c>
      <c r="AG1" s="585" t="s">
        <v>572</v>
      </c>
      <c r="AH1" s="585" t="s">
        <v>573</v>
      </c>
      <c r="AI1" s="585" t="s">
        <v>574</v>
      </c>
      <c r="AJ1" s="591" t="s">
        <v>575</v>
      </c>
      <c r="AK1" s="591" t="s">
        <v>576</v>
      </c>
      <c r="AL1" s="591" t="s">
        <v>577</v>
      </c>
      <c r="AM1" s="591" t="s">
        <v>578</v>
      </c>
      <c r="AN1" s="591" t="s">
        <v>579</v>
      </c>
      <c r="AO1" s="591" t="s">
        <v>580</v>
      </c>
      <c r="AP1" s="591" t="s">
        <v>581</v>
      </c>
      <c r="AQ1" s="591" t="s">
        <v>582</v>
      </c>
      <c r="AR1" s="591" t="s">
        <v>583</v>
      </c>
      <c r="AS1" s="591" t="s">
        <v>584</v>
      </c>
      <c r="AT1" s="591" t="s">
        <v>585</v>
      </c>
      <c r="AU1" s="591" t="s">
        <v>586</v>
      </c>
      <c r="AV1" s="591" t="s">
        <v>587</v>
      </c>
      <c r="AW1" s="591" t="s">
        <v>588</v>
      </c>
      <c r="AX1" s="591" t="s">
        <v>589</v>
      </c>
      <c r="AY1" s="591" t="s">
        <v>590</v>
      </c>
      <c r="AZ1" s="591" t="s">
        <v>591</v>
      </c>
    </row>
    <row r="2" spans="1:52" x14ac:dyDescent="0.2">
      <c r="A2" s="588" t="s">
        <v>540</v>
      </c>
      <c r="B2" s="588" t="s">
        <v>541</v>
      </c>
      <c r="C2" s="588" t="s">
        <v>541</v>
      </c>
      <c r="D2" s="588">
        <v>0</v>
      </c>
      <c r="E2" s="588">
        <v>0</v>
      </c>
      <c r="F2" s="589">
        <v>0</v>
      </c>
      <c r="G2" s="589">
        <v>0</v>
      </c>
      <c r="H2" s="588">
        <v>0</v>
      </c>
      <c r="I2" s="588">
        <v>0</v>
      </c>
      <c r="J2" s="588">
        <v>18385500</v>
      </c>
      <c r="K2" s="588">
        <v>18385500</v>
      </c>
      <c r="L2" s="460">
        <v>18385500</v>
      </c>
      <c r="M2" s="460">
        <v>0</v>
      </c>
      <c r="N2" s="460">
        <v>18385500</v>
      </c>
      <c r="O2" s="588">
        <v>0</v>
      </c>
      <c r="P2" s="588">
        <v>0</v>
      </c>
      <c r="Q2" s="588">
        <v>0</v>
      </c>
      <c r="R2" s="588">
        <v>18385500</v>
      </c>
      <c r="S2" s="592">
        <v>0</v>
      </c>
      <c r="T2" s="592">
        <v>0</v>
      </c>
      <c r="U2" s="592">
        <v>0</v>
      </c>
      <c r="V2" s="592">
        <v>0</v>
      </c>
      <c r="W2" s="592">
        <v>0</v>
      </c>
      <c r="X2" s="592">
        <v>0</v>
      </c>
      <c r="Y2" s="592">
        <v>0</v>
      </c>
      <c r="Z2" s="592">
        <v>0</v>
      </c>
      <c r="AA2" s="592">
        <v>0</v>
      </c>
      <c r="AB2" s="592">
        <v>0</v>
      </c>
      <c r="AC2" s="592">
        <v>0</v>
      </c>
      <c r="AD2" s="592">
        <v>0</v>
      </c>
      <c r="AE2" s="592">
        <v>0</v>
      </c>
      <c r="AF2" s="592">
        <v>0</v>
      </c>
      <c r="AG2" s="592">
        <v>0</v>
      </c>
      <c r="AH2" s="592">
        <v>0</v>
      </c>
      <c r="AI2" s="592">
        <v>0</v>
      </c>
      <c r="AJ2" s="460">
        <v>0</v>
      </c>
      <c r="AK2" s="460">
        <v>0</v>
      </c>
      <c r="AL2" s="460">
        <v>0</v>
      </c>
      <c r="AM2" s="460">
        <v>0</v>
      </c>
      <c r="AN2" s="460">
        <v>0</v>
      </c>
      <c r="AO2" s="460">
        <v>0</v>
      </c>
      <c r="AP2" s="460">
        <v>0</v>
      </c>
      <c r="AQ2" s="460">
        <v>0</v>
      </c>
      <c r="AR2" s="460">
        <v>0</v>
      </c>
      <c r="AS2" s="460">
        <v>0</v>
      </c>
      <c r="AT2" s="460">
        <v>0</v>
      </c>
      <c r="AU2" s="460">
        <v>0</v>
      </c>
      <c r="AV2" s="460">
        <v>0</v>
      </c>
      <c r="AW2" s="460">
        <v>0</v>
      </c>
      <c r="AX2" s="460">
        <v>0</v>
      </c>
      <c r="AY2" s="460">
        <v>0</v>
      </c>
      <c r="AZ2" s="460">
        <v>0</v>
      </c>
    </row>
    <row r="3" spans="1:52" x14ac:dyDescent="0.2">
      <c r="A3" s="588" t="s">
        <v>379</v>
      </c>
      <c r="B3" s="588" t="s">
        <v>231</v>
      </c>
      <c r="C3" s="588" t="s">
        <v>43</v>
      </c>
      <c r="D3" s="588">
        <v>3066105.3207239499</v>
      </c>
      <c r="E3" s="588">
        <v>348.23576673738802</v>
      </c>
      <c r="F3" s="589">
        <v>0.73190130764185501</v>
      </c>
      <c r="G3" s="589">
        <v>1.0825797672653199</v>
      </c>
      <c r="H3" s="588">
        <v>-437.04702906749498</v>
      </c>
      <c r="I3" s="588">
        <v>1466477.68659253</v>
      </c>
      <c r="J3" s="588">
        <v>2003057.82249107</v>
      </c>
      <c r="K3" s="588">
        <v>1354210.2705898499</v>
      </c>
      <c r="L3" s="460">
        <v>202825.34597373701</v>
      </c>
      <c r="M3" s="460">
        <v>1242025.40003666</v>
      </c>
      <c r="N3" s="460">
        <v>1444850.7460103999</v>
      </c>
      <c r="O3" s="588">
        <v>82122.5386136015</v>
      </c>
      <c r="P3" s="588">
        <v>14035.798350253899</v>
      </c>
      <c r="Q3" s="588">
        <v>5163.1374308951999</v>
      </c>
      <c r="R3" s="588">
        <v>95261.352772204496</v>
      </c>
      <c r="S3" s="592">
        <v>0</v>
      </c>
      <c r="T3" s="592">
        <v>0</v>
      </c>
      <c r="U3" s="592">
        <v>6242.5188067822501</v>
      </c>
      <c r="V3" s="592">
        <v>0</v>
      </c>
      <c r="W3" s="592">
        <v>0</v>
      </c>
      <c r="X3" s="592">
        <v>0</v>
      </c>
      <c r="Y3" s="592">
        <v>0</v>
      </c>
      <c r="Z3" s="592">
        <v>0</v>
      </c>
      <c r="AA3" s="592">
        <v>1242025.40003666</v>
      </c>
      <c r="AB3" s="592">
        <v>0</v>
      </c>
      <c r="AC3" s="592">
        <v>2223295.3891203199</v>
      </c>
      <c r="AD3" s="592">
        <v>0</v>
      </c>
      <c r="AE3" s="592">
        <v>588762.00827352703</v>
      </c>
      <c r="AF3" s="592">
        <v>23528183.684426699</v>
      </c>
      <c r="AG3" s="592">
        <v>15293319.7084006</v>
      </c>
      <c r="AH3" s="592">
        <v>-752.66125637568905</v>
      </c>
      <c r="AI3" s="592">
        <v>-413.96369100662901</v>
      </c>
      <c r="AJ3" s="460">
        <v>9.5890082372828103E-2</v>
      </c>
      <c r="AK3" s="460">
        <v>1.0557617456853099</v>
      </c>
      <c r="AL3" s="460">
        <v>0.13101504447612</v>
      </c>
      <c r="AM3" s="460">
        <v>0.117748741613936</v>
      </c>
      <c r="AN3" s="460">
        <v>8.8575535283699297E-2</v>
      </c>
      <c r="AO3" s="460">
        <v>7.5309232421515104E-2</v>
      </c>
      <c r="AP3" s="460">
        <v>0.247379879090492</v>
      </c>
      <c r="AQ3" s="460">
        <v>-3.51249621032921E-2</v>
      </c>
      <c r="AR3" s="460">
        <v>-2.18586592411079E-2</v>
      </c>
      <c r="AS3" s="460">
        <v>7.3145470891288304E-3</v>
      </c>
      <c r="AT3" s="460">
        <v>2.0580849951312999E-2</v>
      </c>
      <c r="AU3" s="460">
        <v>-0.38673020597829399</v>
      </c>
      <c r="AV3" s="460">
        <v>-0.24066655974932599</v>
      </c>
      <c r="AW3" s="460">
        <v>8.0534074146261195E-2</v>
      </c>
      <c r="AX3" s="460">
        <v>0.22659772037522899</v>
      </c>
      <c r="AY3" s="460">
        <v>-0.15148979671766299</v>
      </c>
      <c r="AZ3" s="460">
        <v>-1.6679215230448801</v>
      </c>
    </row>
    <row r="4" spans="1:52" x14ac:dyDescent="0.2">
      <c r="A4" s="588" t="s">
        <v>380</v>
      </c>
      <c r="B4" s="588" t="s">
        <v>231</v>
      </c>
      <c r="C4" s="588" t="s">
        <v>44</v>
      </c>
      <c r="D4" s="588">
        <v>1511336.19052757</v>
      </c>
      <c r="E4" s="588">
        <v>209.827921889837</v>
      </c>
      <c r="F4" s="589">
        <v>0.92445766015754205</v>
      </c>
      <c r="G4" s="589">
        <v>1.42820977048565</v>
      </c>
      <c r="H4" s="588">
        <v>0</v>
      </c>
      <c r="I4" s="588">
        <v>332531.413150265</v>
      </c>
      <c r="J4" s="588">
        <v>359704.319063781</v>
      </c>
      <c r="K4" s="588">
        <v>232830.93283782201</v>
      </c>
      <c r="L4" s="460">
        <v>84252.3413156639</v>
      </c>
      <c r="M4" s="460">
        <v>160275.143982557</v>
      </c>
      <c r="N4" s="460">
        <v>244527.485298221</v>
      </c>
      <c r="O4" s="588">
        <v>13063.6132240142</v>
      </c>
      <c r="P4" s="588">
        <v>8106.0427637261701</v>
      </c>
      <c r="Q4" s="588">
        <v>1523.4454103784899</v>
      </c>
      <c r="R4" s="588">
        <v>56877.569296246998</v>
      </c>
      <c r="S4" s="592">
        <v>0</v>
      </c>
      <c r="T4" s="592">
        <v>0</v>
      </c>
      <c r="U4" s="592">
        <v>4681.6706212981298</v>
      </c>
      <c r="V4" s="592">
        <v>0</v>
      </c>
      <c r="W4" s="592">
        <v>0</v>
      </c>
      <c r="X4" s="592">
        <v>0</v>
      </c>
      <c r="Y4" s="592">
        <v>0</v>
      </c>
      <c r="Z4" s="592">
        <v>0</v>
      </c>
      <c r="AA4" s="592">
        <v>160275.143982557</v>
      </c>
      <c r="AB4" s="592">
        <v>0</v>
      </c>
      <c r="AC4" s="592">
        <v>358502.033035787</v>
      </c>
      <c r="AD4" s="592">
        <v>0</v>
      </c>
      <c r="AE4" s="592">
        <v>118936.138158036</v>
      </c>
      <c r="AF4" s="592">
        <v>6042608.0585801499</v>
      </c>
      <c r="AG4" s="592">
        <v>3927695.3821441</v>
      </c>
      <c r="AH4" s="592">
        <v>0</v>
      </c>
      <c r="AI4" s="592">
        <v>0</v>
      </c>
      <c r="AJ4" s="460">
        <v>8.4663239074497104E-2</v>
      </c>
      <c r="AK4" s="460">
        <v>0</v>
      </c>
      <c r="AL4" s="460">
        <v>9.1581521494526003E-2</v>
      </c>
      <c r="AM4" s="460">
        <v>7.0130687578360301E-2</v>
      </c>
      <c r="AN4" s="460">
        <v>5.9279274532415702E-2</v>
      </c>
      <c r="AO4" s="460">
        <v>3.7828440616250097E-2</v>
      </c>
      <c r="AP4" s="460">
        <v>0.21093860873581699</v>
      </c>
      <c r="AQ4" s="460">
        <v>-6.9182824200288697E-3</v>
      </c>
      <c r="AR4" s="460">
        <v>1.45325514961368E-2</v>
      </c>
      <c r="AS4" s="460">
        <v>2.5383964542081399E-2</v>
      </c>
      <c r="AT4" s="460">
        <v>4.6834798458247097E-2</v>
      </c>
      <c r="AU4" s="460">
        <v>0</v>
      </c>
      <c r="AV4" s="460">
        <v>0</v>
      </c>
      <c r="AW4" s="460">
        <v>0</v>
      </c>
      <c r="AX4" s="460">
        <v>0</v>
      </c>
      <c r="AY4" s="460">
        <v>-0.126275369661319</v>
      </c>
      <c r="AZ4" s="460">
        <v>0</v>
      </c>
    </row>
    <row r="5" spans="1:52" x14ac:dyDescent="0.2">
      <c r="A5" s="588" t="s">
        <v>381</v>
      </c>
      <c r="B5" s="588" t="s">
        <v>231</v>
      </c>
      <c r="C5" s="588" t="s">
        <v>45</v>
      </c>
      <c r="D5" s="588">
        <v>67448.52</v>
      </c>
      <c r="E5" s="588">
        <v>0.71215002346316303</v>
      </c>
      <c r="F5" s="589">
        <v>0.210831887322047</v>
      </c>
      <c r="G5" s="589">
        <v>0.27053182980575102</v>
      </c>
      <c r="H5" s="588">
        <v>0</v>
      </c>
      <c r="I5" s="588">
        <v>35969.202446586001</v>
      </c>
      <c r="J5" s="588">
        <v>170606.082900746</v>
      </c>
      <c r="K5" s="588">
        <v>132957.37685437099</v>
      </c>
      <c r="L5" s="460">
        <v>121060.366650225</v>
      </c>
      <c r="M5" s="460">
        <v>12833.5785384476</v>
      </c>
      <c r="N5" s="460">
        <v>133893.94518867199</v>
      </c>
      <c r="O5" s="588">
        <v>9593.2194788807901</v>
      </c>
      <c r="P5" s="588">
        <v>9476.0912427563198</v>
      </c>
      <c r="Q5" s="588">
        <v>0</v>
      </c>
      <c r="R5" s="588">
        <v>97309.385307289602</v>
      </c>
      <c r="S5" s="592">
        <v>0</v>
      </c>
      <c r="T5" s="592">
        <v>0</v>
      </c>
      <c r="U5" s="592">
        <v>4681.6706212981298</v>
      </c>
      <c r="V5" s="592">
        <v>0</v>
      </c>
      <c r="W5" s="592">
        <v>0</v>
      </c>
      <c r="X5" s="592">
        <v>0</v>
      </c>
      <c r="Y5" s="592">
        <v>0</v>
      </c>
      <c r="Z5" s="592">
        <v>0</v>
      </c>
      <c r="AA5" s="592">
        <v>12833.5785384476</v>
      </c>
      <c r="AB5" s="592">
        <v>0</v>
      </c>
      <c r="AC5" s="592">
        <v>74327.185829861803</v>
      </c>
      <c r="AD5" s="592">
        <v>0</v>
      </c>
      <c r="AE5" s="592">
        <v>36896.165840970301</v>
      </c>
      <c r="AF5" s="592">
        <v>455577.01221617102</v>
      </c>
      <c r="AG5" s="592">
        <v>296125.068802314</v>
      </c>
      <c r="AH5" s="592">
        <v>0</v>
      </c>
      <c r="AI5" s="592">
        <v>0</v>
      </c>
      <c r="AJ5" s="460">
        <v>0.121466252729174</v>
      </c>
      <c r="AK5" s="460">
        <v>0</v>
      </c>
      <c r="AL5" s="460">
        <v>0.57612847028036895</v>
      </c>
      <c r="AM5" s="460">
        <v>0.167313481600563</v>
      </c>
      <c r="AN5" s="460">
        <v>0.44899061532386098</v>
      </c>
      <c r="AO5" s="460">
        <v>4.0175626644053997E-2</v>
      </c>
      <c r="AP5" s="460">
        <v>0.60736265423178504</v>
      </c>
      <c r="AQ5" s="460">
        <v>-0.45466221755119501</v>
      </c>
      <c r="AR5" s="460">
        <v>-4.5847228871388299E-2</v>
      </c>
      <c r="AS5" s="460">
        <v>-0.32752436259468598</v>
      </c>
      <c r="AT5" s="460">
        <v>8.1290626085120193E-2</v>
      </c>
      <c r="AU5" s="460">
        <v>0</v>
      </c>
      <c r="AV5" s="460">
        <v>0</v>
      </c>
      <c r="AW5" s="460">
        <v>0</v>
      </c>
      <c r="AX5" s="460">
        <v>0</v>
      </c>
      <c r="AY5" s="460">
        <v>-0.48589640150261099</v>
      </c>
      <c r="AZ5" s="460">
        <v>0</v>
      </c>
    </row>
    <row r="6" spans="1:52" x14ac:dyDescent="0.2">
      <c r="A6" s="588" t="s">
        <v>382</v>
      </c>
      <c r="B6" s="588" t="s">
        <v>231</v>
      </c>
      <c r="C6" s="588" t="s">
        <v>47</v>
      </c>
      <c r="D6" s="588">
        <v>2318668.5792899998</v>
      </c>
      <c r="E6" s="588">
        <v>249.40160416641299</v>
      </c>
      <c r="F6" s="589">
        <v>0.64505222190906897</v>
      </c>
      <c r="G6" s="589">
        <v>0.91315338310011396</v>
      </c>
      <c r="H6" s="588">
        <v>0</v>
      </c>
      <c r="I6" s="588">
        <v>892881.75872196001</v>
      </c>
      <c r="J6" s="588">
        <v>1384200.7335149201</v>
      </c>
      <c r="K6" s="588">
        <v>977800.41693616402</v>
      </c>
      <c r="L6" s="460">
        <v>264855.76799147303</v>
      </c>
      <c r="M6" s="460">
        <v>769069.79054356401</v>
      </c>
      <c r="N6" s="460">
        <v>1033925.55853504</v>
      </c>
      <c r="O6" s="588">
        <v>73665.011410839303</v>
      </c>
      <c r="P6" s="588">
        <v>14759.369716467199</v>
      </c>
      <c r="Q6" s="588">
        <v>12648.1690158561</v>
      </c>
      <c r="R6" s="588">
        <v>159101.54722701301</v>
      </c>
      <c r="S6" s="592">
        <v>0</v>
      </c>
      <c r="T6" s="592">
        <v>0</v>
      </c>
      <c r="U6" s="592">
        <v>4681.6706212981298</v>
      </c>
      <c r="V6" s="592">
        <v>0</v>
      </c>
      <c r="W6" s="592">
        <v>0</v>
      </c>
      <c r="X6" s="592">
        <v>0</v>
      </c>
      <c r="Y6" s="592">
        <v>0</v>
      </c>
      <c r="Z6" s="592">
        <v>0</v>
      </c>
      <c r="AA6" s="592">
        <v>769069.79054356401</v>
      </c>
      <c r="AB6" s="592">
        <v>0</v>
      </c>
      <c r="AC6" s="592">
        <v>1384361.9083117801</v>
      </c>
      <c r="AD6" s="592">
        <v>0</v>
      </c>
      <c r="AE6" s="592">
        <v>369175.27328519302</v>
      </c>
      <c r="AF6" s="592">
        <v>14805440.285597401</v>
      </c>
      <c r="AG6" s="592">
        <v>9623536.2509226706</v>
      </c>
      <c r="AH6" s="592">
        <v>0</v>
      </c>
      <c r="AI6" s="592">
        <v>0</v>
      </c>
      <c r="AJ6" s="460">
        <v>9.2781045910888996E-2</v>
      </c>
      <c r="AK6" s="460">
        <v>0</v>
      </c>
      <c r="AL6" s="460">
        <v>0.14383493732693201</v>
      </c>
      <c r="AM6" s="460">
        <v>0.116313269502791</v>
      </c>
      <c r="AN6" s="460">
        <v>0.101605105591244</v>
      </c>
      <c r="AO6" s="460">
        <v>7.4083437767103202E-2</v>
      </c>
      <c r="AP6" s="460">
        <v>0.25930881543253298</v>
      </c>
      <c r="AQ6" s="460">
        <v>-5.1053891416042697E-2</v>
      </c>
      <c r="AR6" s="460">
        <v>-2.3532223591901599E-2</v>
      </c>
      <c r="AS6" s="460">
        <v>-8.82405968035525E-3</v>
      </c>
      <c r="AT6" s="460">
        <v>1.86976081437858E-2</v>
      </c>
      <c r="AU6" s="460">
        <v>0</v>
      </c>
      <c r="AV6" s="460">
        <v>0</v>
      </c>
      <c r="AW6" s="460">
        <v>0</v>
      </c>
      <c r="AX6" s="460">
        <v>0</v>
      </c>
      <c r="AY6" s="460">
        <v>-0.166527769521644</v>
      </c>
      <c r="AZ6" s="460">
        <v>0</v>
      </c>
    </row>
    <row r="7" spans="1:52" x14ac:dyDescent="0.2">
      <c r="A7" s="588" t="s">
        <v>383</v>
      </c>
      <c r="B7" s="588" t="s">
        <v>231</v>
      </c>
      <c r="C7" s="588" t="s">
        <v>48</v>
      </c>
      <c r="D7" s="588">
        <v>189294.74415000001</v>
      </c>
      <c r="E7" s="588">
        <v>21.862130560810002</v>
      </c>
      <c r="F7" s="589">
        <v>8.0328185135207703E-2</v>
      </c>
      <c r="G7" s="589">
        <v>0.114626760268129</v>
      </c>
      <c r="H7" s="588">
        <v>0</v>
      </c>
      <c r="I7" s="588">
        <v>74158.4582706418</v>
      </c>
      <c r="J7" s="588">
        <v>923193.49859353795</v>
      </c>
      <c r="K7" s="588">
        <v>646955.89491645899</v>
      </c>
      <c r="L7" s="460">
        <v>609149.69794046797</v>
      </c>
      <c r="M7" s="460">
        <v>40782.414220532097</v>
      </c>
      <c r="N7" s="460">
        <v>649932.11216100003</v>
      </c>
      <c r="O7" s="588">
        <v>51775.033785430103</v>
      </c>
      <c r="P7" s="588">
        <v>28176.556346697998</v>
      </c>
      <c r="Q7" s="588">
        <v>24832.329202033099</v>
      </c>
      <c r="R7" s="588">
        <v>478147.72397891397</v>
      </c>
      <c r="S7" s="592">
        <v>0</v>
      </c>
      <c r="T7" s="592">
        <v>0</v>
      </c>
      <c r="U7" s="592">
        <v>26218.054627392899</v>
      </c>
      <c r="V7" s="592">
        <v>0</v>
      </c>
      <c r="W7" s="592">
        <v>0</v>
      </c>
      <c r="X7" s="592">
        <v>0</v>
      </c>
      <c r="Y7" s="592">
        <v>0</v>
      </c>
      <c r="Z7" s="592">
        <v>0</v>
      </c>
      <c r="AA7" s="592">
        <v>40782.414220532097</v>
      </c>
      <c r="AB7" s="592">
        <v>0</v>
      </c>
      <c r="AC7" s="592">
        <v>495050.563833425</v>
      </c>
      <c r="AD7" s="592">
        <v>0</v>
      </c>
      <c r="AE7" s="592">
        <v>273231.32835967903</v>
      </c>
      <c r="AF7" s="592">
        <v>887279.41362825502</v>
      </c>
      <c r="AG7" s="592">
        <v>611507.23978774599</v>
      </c>
      <c r="AH7" s="592">
        <v>0</v>
      </c>
      <c r="AI7" s="592">
        <v>0</v>
      </c>
      <c r="AJ7" s="460">
        <v>0.121271594914203</v>
      </c>
      <c r="AK7" s="460">
        <v>0</v>
      </c>
      <c r="AL7" s="460">
        <v>1.50970166586086</v>
      </c>
      <c r="AM7" s="460">
        <v>0.51355696256691097</v>
      </c>
      <c r="AN7" s="460">
        <v>1.0579693138891</v>
      </c>
      <c r="AO7" s="460">
        <v>6.1824610595148002E-2</v>
      </c>
      <c r="AP7" s="460">
        <v>1.21284458088845</v>
      </c>
      <c r="AQ7" s="460">
        <v>-1.3884300709466599</v>
      </c>
      <c r="AR7" s="460">
        <v>-0.39228536765270799</v>
      </c>
      <c r="AS7" s="460">
        <v>-0.93669771897489695</v>
      </c>
      <c r="AT7" s="460">
        <v>5.9446984319054798E-2</v>
      </c>
      <c r="AU7" s="460">
        <v>0</v>
      </c>
      <c r="AV7" s="460">
        <v>0</v>
      </c>
      <c r="AW7" s="460">
        <v>0</v>
      </c>
      <c r="AX7" s="460">
        <v>0</v>
      </c>
      <c r="AY7" s="460">
        <v>-1.09157298597424</v>
      </c>
      <c r="AZ7" s="460">
        <v>0</v>
      </c>
    </row>
    <row r="8" spans="1:52" x14ac:dyDescent="0.2">
      <c r="A8" s="588" t="s">
        <v>384</v>
      </c>
      <c r="B8" s="588" t="s">
        <v>231</v>
      </c>
      <c r="C8" s="588" t="s">
        <v>49</v>
      </c>
      <c r="D8" s="588">
        <v>0</v>
      </c>
      <c r="E8" s="588">
        <v>0</v>
      </c>
      <c r="F8" s="589">
        <v>0</v>
      </c>
      <c r="G8" s="589">
        <v>0</v>
      </c>
      <c r="H8" s="588">
        <v>0</v>
      </c>
      <c r="I8" s="588">
        <v>0</v>
      </c>
      <c r="J8" s="588">
        <v>78719.317967904601</v>
      </c>
      <c r="K8" s="588">
        <v>78719.317967904601</v>
      </c>
      <c r="L8" s="460">
        <v>78719.317967904601</v>
      </c>
      <c r="M8" s="460">
        <v>0</v>
      </c>
      <c r="N8" s="460">
        <v>78719.317967904601</v>
      </c>
      <c r="O8" s="588">
        <v>4982.74497359628</v>
      </c>
      <c r="P8" s="588">
        <v>8707.0064016465094</v>
      </c>
      <c r="Q8" s="588">
        <v>9605.1837626259203</v>
      </c>
      <c r="R8" s="588">
        <v>49181.8640232537</v>
      </c>
      <c r="S8" s="592">
        <v>0</v>
      </c>
      <c r="T8" s="592">
        <v>0</v>
      </c>
      <c r="U8" s="592">
        <v>6242.5188067822501</v>
      </c>
      <c r="V8" s="592">
        <v>0</v>
      </c>
      <c r="W8" s="592">
        <v>0</v>
      </c>
      <c r="X8" s="592">
        <v>0</v>
      </c>
      <c r="Y8" s="592">
        <v>0</v>
      </c>
      <c r="Z8" s="592">
        <v>0</v>
      </c>
      <c r="AA8" s="592">
        <v>0</v>
      </c>
      <c r="AB8" s="592">
        <v>0</v>
      </c>
      <c r="AC8" s="592">
        <v>0</v>
      </c>
      <c r="AD8" s="592">
        <v>0</v>
      </c>
      <c r="AE8" s="592">
        <v>0</v>
      </c>
      <c r="AF8" s="592">
        <v>0</v>
      </c>
      <c r="AG8" s="592">
        <v>0</v>
      </c>
      <c r="AH8" s="592">
        <v>0</v>
      </c>
      <c r="AI8" s="592">
        <v>0</v>
      </c>
      <c r="AJ8" s="460">
        <v>0</v>
      </c>
      <c r="AK8" s="460">
        <v>0</v>
      </c>
      <c r="AL8" s="460">
        <v>0</v>
      </c>
      <c r="AM8" s="460">
        <v>0</v>
      </c>
      <c r="AN8" s="460">
        <v>0</v>
      </c>
      <c r="AO8" s="460">
        <v>0</v>
      </c>
      <c r="AP8" s="460">
        <v>0</v>
      </c>
      <c r="AQ8" s="460">
        <v>0</v>
      </c>
      <c r="AR8" s="460">
        <v>0</v>
      </c>
      <c r="AS8" s="460">
        <v>0</v>
      </c>
      <c r="AT8" s="460">
        <v>0</v>
      </c>
      <c r="AU8" s="460">
        <v>0</v>
      </c>
      <c r="AV8" s="460">
        <v>0</v>
      </c>
      <c r="AW8" s="460">
        <v>0</v>
      </c>
      <c r="AX8" s="460">
        <v>0</v>
      </c>
      <c r="AY8" s="460">
        <v>0</v>
      </c>
      <c r="AZ8" s="460">
        <v>0</v>
      </c>
    </row>
    <row r="9" spans="1:52" x14ac:dyDescent="0.2">
      <c r="A9" s="588" t="s">
        <v>385</v>
      </c>
      <c r="B9" s="588" t="s">
        <v>231</v>
      </c>
      <c r="C9" s="588" t="s">
        <v>88</v>
      </c>
      <c r="D9" s="588">
        <v>0</v>
      </c>
      <c r="E9" s="588">
        <v>0</v>
      </c>
      <c r="F9" s="589">
        <v>0</v>
      </c>
      <c r="G9" s="589">
        <v>0</v>
      </c>
      <c r="H9" s="588">
        <v>0</v>
      </c>
      <c r="I9" s="588">
        <v>0</v>
      </c>
      <c r="J9" s="588">
        <v>439949.82140257698</v>
      </c>
      <c r="K9" s="588">
        <v>439949.82140257698</v>
      </c>
      <c r="L9" s="460">
        <v>439949.82140257698</v>
      </c>
      <c r="M9" s="460">
        <v>0</v>
      </c>
      <c r="N9" s="460">
        <v>439949.82140257698</v>
      </c>
      <c r="O9" s="588">
        <v>27730.041265012402</v>
      </c>
      <c r="P9" s="588">
        <v>42774.3067849609</v>
      </c>
      <c r="Q9" s="588">
        <v>0</v>
      </c>
      <c r="R9" s="588">
        <v>369445.47335260297</v>
      </c>
      <c r="S9" s="592">
        <v>0</v>
      </c>
      <c r="T9" s="592">
        <v>0</v>
      </c>
      <c r="U9" s="592">
        <v>0</v>
      </c>
      <c r="V9" s="592">
        <v>0</v>
      </c>
      <c r="W9" s="592">
        <v>0</v>
      </c>
      <c r="X9" s="592">
        <v>0</v>
      </c>
      <c r="Y9" s="592">
        <v>0</v>
      </c>
      <c r="Z9" s="592">
        <v>0</v>
      </c>
      <c r="AA9" s="592">
        <v>0</v>
      </c>
      <c r="AB9" s="592">
        <v>0</v>
      </c>
      <c r="AC9" s="592">
        <v>0</v>
      </c>
      <c r="AD9" s="592">
        <v>0</v>
      </c>
      <c r="AE9" s="592">
        <v>0</v>
      </c>
      <c r="AF9" s="592">
        <v>0</v>
      </c>
      <c r="AG9" s="592">
        <v>0</v>
      </c>
      <c r="AH9" s="592">
        <v>0</v>
      </c>
      <c r="AI9" s="592">
        <v>0</v>
      </c>
      <c r="AJ9" s="460">
        <v>0</v>
      </c>
      <c r="AK9" s="460">
        <v>0</v>
      </c>
      <c r="AL9" s="460">
        <v>0</v>
      </c>
      <c r="AM9" s="460">
        <v>0</v>
      </c>
      <c r="AN9" s="460">
        <v>0</v>
      </c>
      <c r="AO9" s="460">
        <v>0</v>
      </c>
      <c r="AP9" s="460">
        <v>0</v>
      </c>
      <c r="AQ9" s="460">
        <v>0</v>
      </c>
      <c r="AR9" s="460">
        <v>0</v>
      </c>
      <c r="AS9" s="460">
        <v>0</v>
      </c>
      <c r="AT9" s="460">
        <v>0</v>
      </c>
      <c r="AU9" s="460">
        <v>0</v>
      </c>
      <c r="AV9" s="460">
        <v>0</v>
      </c>
      <c r="AW9" s="460">
        <v>0</v>
      </c>
      <c r="AX9" s="460">
        <v>0</v>
      </c>
      <c r="AY9" s="460">
        <v>0</v>
      </c>
      <c r="AZ9" s="460">
        <v>0</v>
      </c>
    </row>
    <row r="10" spans="1:52" x14ac:dyDescent="0.2">
      <c r="A10" s="588" t="s">
        <v>387</v>
      </c>
      <c r="B10" s="588" t="s">
        <v>231</v>
      </c>
      <c r="C10" s="588" t="s">
        <v>50</v>
      </c>
      <c r="D10" s="588">
        <v>0</v>
      </c>
      <c r="E10" s="588">
        <v>0</v>
      </c>
      <c r="F10" s="589">
        <v>0</v>
      </c>
      <c r="G10" s="589">
        <v>0</v>
      </c>
      <c r="H10" s="588">
        <v>0</v>
      </c>
      <c r="I10" s="588">
        <v>0</v>
      </c>
      <c r="J10" s="588">
        <v>173529.02591345101</v>
      </c>
      <c r="K10" s="588">
        <v>173529.02591345101</v>
      </c>
      <c r="L10" s="460">
        <v>173529.02591345101</v>
      </c>
      <c r="M10" s="460">
        <v>0</v>
      </c>
      <c r="N10" s="460">
        <v>173529.02591345101</v>
      </c>
      <c r="O10" s="588">
        <v>11829.583816063499</v>
      </c>
      <c r="P10" s="588">
        <v>9025.6007259226808</v>
      </c>
      <c r="Q10" s="588">
        <v>276.67862584817601</v>
      </c>
      <c r="R10" s="588">
        <v>141909.940894659</v>
      </c>
      <c r="S10" s="592">
        <v>0</v>
      </c>
      <c r="T10" s="592">
        <v>0</v>
      </c>
      <c r="U10" s="592">
        <v>10487.221850957199</v>
      </c>
      <c r="V10" s="592">
        <v>0</v>
      </c>
      <c r="W10" s="592">
        <v>0</v>
      </c>
      <c r="X10" s="592">
        <v>0</v>
      </c>
      <c r="Y10" s="592">
        <v>0</v>
      </c>
      <c r="Z10" s="592">
        <v>0</v>
      </c>
      <c r="AA10" s="592">
        <v>0</v>
      </c>
      <c r="AB10" s="592">
        <v>0</v>
      </c>
      <c r="AC10" s="592">
        <v>0</v>
      </c>
      <c r="AD10" s="592">
        <v>0</v>
      </c>
      <c r="AE10" s="592">
        <v>0</v>
      </c>
      <c r="AF10" s="592">
        <v>0</v>
      </c>
      <c r="AG10" s="592">
        <v>0</v>
      </c>
      <c r="AH10" s="592">
        <v>0</v>
      </c>
      <c r="AI10" s="592">
        <v>0</v>
      </c>
      <c r="AJ10" s="460">
        <v>0</v>
      </c>
      <c r="AK10" s="460">
        <v>0</v>
      </c>
      <c r="AL10" s="460">
        <v>0</v>
      </c>
      <c r="AM10" s="460">
        <v>0</v>
      </c>
      <c r="AN10" s="460">
        <v>0</v>
      </c>
      <c r="AO10" s="460">
        <v>0</v>
      </c>
      <c r="AP10" s="460">
        <v>0</v>
      </c>
      <c r="AQ10" s="460">
        <v>0</v>
      </c>
      <c r="AR10" s="460">
        <v>0</v>
      </c>
      <c r="AS10" s="460">
        <v>0</v>
      </c>
      <c r="AT10" s="460">
        <v>0</v>
      </c>
      <c r="AU10" s="460">
        <v>0</v>
      </c>
      <c r="AV10" s="460">
        <v>0</v>
      </c>
      <c r="AW10" s="460">
        <v>0</v>
      </c>
      <c r="AX10" s="460">
        <v>0</v>
      </c>
      <c r="AY10" s="460">
        <v>0</v>
      </c>
      <c r="AZ10" s="460">
        <v>0</v>
      </c>
    </row>
    <row r="11" spans="1:52" x14ac:dyDescent="0.2">
      <c r="A11" s="588" t="s">
        <v>388</v>
      </c>
      <c r="B11" s="588" t="s">
        <v>231</v>
      </c>
      <c r="C11" s="588" t="s">
        <v>51</v>
      </c>
      <c r="D11" s="588">
        <v>0</v>
      </c>
      <c r="E11" s="588">
        <v>0</v>
      </c>
      <c r="F11" s="589">
        <v>0</v>
      </c>
      <c r="G11" s="589">
        <v>0</v>
      </c>
      <c r="H11" s="588">
        <v>0</v>
      </c>
      <c r="I11" s="588">
        <v>0</v>
      </c>
      <c r="J11" s="588">
        <v>112893.556120419</v>
      </c>
      <c r="K11" s="588">
        <v>112893.556120419</v>
      </c>
      <c r="L11" s="460">
        <v>112893.556120419</v>
      </c>
      <c r="M11" s="460">
        <v>0</v>
      </c>
      <c r="N11" s="460">
        <v>112893.556120419</v>
      </c>
      <c r="O11" s="588">
        <v>7189.0964991728897</v>
      </c>
      <c r="P11" s="588">
        <v>14488.1465599404</v>
      </c>
      <c r="Q11" s="588">
        <v>8430.0875681492998</v>
      </c>
      <c r="R11" s="588">
        <v>76543.7066863746</v>
      </c>
      <c r="S11" s="592">
        <v>0</v>
      </c>
      <c r="T11" s="592">
        <v>0</v>
      </c>
      <c r="U11" s="592">
        <v>6242.51880678219</v>
      </c>
      <c r="V11" s="592">
        <v>0</v>
      </c>
      <c r="W11" s="592">
        <v>0</v>
      </c>
      <c r="X11" s="592">
        <v>0</v>
      </c>
      <c r="Y11" s="592">
        <v>0</v>
      </c>
      <c r="Z11" s="592">
        <v>0</v>
      </c>
      <c r="AA11" s="592">
        <v>0</v>
      </c>
      <c r="AB11" s="592">
        <v>0</v>
      </c>
      <c r="AC11" s="592">
        <v>0</v>
      </c>
      <c r="AD11" s="592">
        <v>0</v>
      </c>
      <c r="AE11" s="592">
        <v>0</v>
      </c>
      <c r="AF11" s="592">
        <v>0</v>
      </c>
      <c r="AG11" s="592">
        <v>0</v>
      </c>
      <c r="AH11" s="592">
        <v>0</v>
      </c>
      <c r="AI11" s="592">
        <v>0</v>
      </c>
      <c r="AJ11" s="460">
        <v>0</v>
      </c>
      <c r="AK11" s="460">
        <v>0</v>
      </c>
      <c r="AL11" s="460">
        <v>0</v>
      </c>
      <c r="AM11" s="460">
        <v>0</v>
      </c>
      <c r="AN11" s="460">
        <v>0</v>
      </c>
      <c r="AO11" s="460">
        <v>0</v>
      </c>
      <c r="AP11" s="460">
        <v>0</v>
      </c>
      <c r="AQ11" s="460">
        <v>0</v>
      </c>
      <c r="AR11" s="460">
        <v>0</v>
      </c>
      <c r="AS11" s="460">
        <v>0</v>
      </c>
      <c r="AT11" s="460">
        <v>0</v>
      </c>
      <c r="AU11" s="460">
        <v>0</v>
      </c>
      <c r="AV11" s="460">
        <v>0</v>
      </c>
      <c r="AW11" s="460">
        <v>0</v>
      </c>
      <c r="AX11" s="460">
        <v>0</v>
      </c>
      <c r="AY11" s="460">
        <v>0</v>
      </c>
      <c r="AZ11" s="460">
        <v>0</v>
      </c>
    </row>
    <row r="12" spans="1:52" x14ac:dyDescent="0.2">
      <c r="A12" s="588" t="s">
        <v>389</v>
      </c>
      <c r="B12" s="588" t="s">
        <v>231</v>
      </c>
      <c r="C12" s="588" t="s">
        <v>52</v>
      </c>
      <c r="D12" s="588">
        <v>3845533.7678999999</v>
      </c>
      <c r="E12" s="588">
        <v>358.72316760000001</v>
      </c>
      <c r="F12" s="589">
        <v>0.63569918254027002</v>
      </c>
      <c r="G12" s="589">
        <v>0.97866387394960397</v>
      </c>
      <c r="H12" s="588">
        <v>0</v>
      </c>
      <c r="I12" s="588">
        <v>1815125.6553055199</v>
      </c>
      <c r="J12" s="588">
        <v>2855321.67597296</v>
      </c>
      <c r="K12" s="588">
        <v>1854697.7196370801</v>
      </c>
      <c r="L12" s="460">
        <v>385549.32431523799</v>
      </c>
      <c r="M12" s="460">
        <v>1584804.16444677</v>
      </c>
      <c r="N12" s="460">
        <v>1970353.4887620001</v>
      </c>
      <c r="O12" s="588">
        <v>127336.303464932</v>
      </c>
      <c r="P12" s="588">
        <v>21178.627369739901</v>
      </c>
      <c r="Q12" s="588">
        <v>0</v>
      </c>
      <c r="R12" s="588">
        <v>231353.81497796401</v>
      </c>
      <c r="S12" s="592">
        <v>0</v>
      </c>
      <c r="T12" s="592">
        <v>0</v>
      </c>
      <c r="U12" s="592">
        <v>5680.5785026018002</v>
      </c>
      <c r="V12" s="592">
        <v>0</v>
      </c>
      <c r="W12" s="592">
        <v>0</v>
      </c>
      <c r="X12" s="592">
        <v>0</v>
      </c>
      <c r="Y12" s="592">
        <v>0</v>
      </c>
      <c r="Z12" s="592">
        <v>0</v>
      </c>
      <c r="AA12" s="592">
        <v>1584804.16444677</v>
      </c>
      <c r="AB12" s="592">
        <v>0</v>
      </c>
      <c r="AC12" s="592">
        <v>3123505.4941183599</v>
      </c>
      <c r="AD12" s="592">
        <v>0</v>
      </c>
      <c r="AE12" s="592">
        <v>923220.80134458898</v>
      </c>
      <c r="AF12" s="592">
        <v>29323255.367302202</v>
      </c>
      <c r="AG12" s="592">
        <v>19060116.0164579</v>
      </c>
      <c r="AH12" s="592">
        <v>0</v>
      </c>
      <c r="AI12" s="592">
        <v>0</v>
      </c>
      <c r="AJ12" s="460">
        <v>9.52316163101114E-2</v>
      </c>
      <c r="AK12" s="460">
        <v>0</v>
      </c>
      <c r="AL12" s="460">
        <v>0.14980610157396099</v>
      </c>
      <c r="AM12" s="460">
        <v>0.12957803349807201</v>
      </c>
      <c r="AN12" s="460">
        <v>9.7307787530548306E-2</v>
      </c>
      <c r="AO12" s="460">
        <v>7.7079719454660106E-2</v>
      </c>
      <c r="AP12" s="460">
        <v>0.25598014662506502</v>
      </c>
      <c r="AQ12" s="460">
        <v>-5.4574485263849198E-2</v>
      </c>
      <c r="AR12" s="460">
        <v>-3.4346417187960998E-2</v>
      </c>
      <c r="AS12" s="460">
        <v>-2.0761712204369199E-3</v>
      </c>
      <c r="AT12" s="460">
        <v>1.8151896855451301E-2</v>
      </c>
      <c r="AU12" s="460">
        <v>0</v>
      </c>
      <c r="AV12" s="460">
        <v>0</v>
      </c>
      <c r="AW12" s="460">
        <v>0</v>
      </c>
      <c r="AX12" s="460">
        <v>0</v>
      </c>
      <c r="AY12" s="460">
        <v>-0.16074853031495401</v>
      </c>
      <c r="AZ12" s="460">
        <v>0</v>
      </c>
    </row>
    <row r="13" spans="1:52" x14ac:dyDescent="0.2">
      <c r="A13" s="588" t="s">
        <v>390</v>
      </c>
      <c r="B13" s="588" t="s">
        <v>231</v>
      </c>
      <c r="C13" s="588" t="s">
        <v>53</v>
      </c>
      <c r="D13" s="588">
        <v>1238458.4688899999</v>
      </c>
      <c r="E13" s="588">
        <v>108.523736126063</v>
      </c>
      <c r="F13" s="589">
        <v>0.59225127946185896</v>
      </c>
      <c r="G13" s="589">
        <v>0.86932873396920696</v>
      </c>
      <c r="H13" s="588">
        <v>0</v>
      </c>
      <c r="I13" s="588">
        <v>509791.852930266</v>
      </c>
      <c r="J13" s="588">
        <v>860769.525721382</v>
      </c>
      <c r="K13" s="588">
        <v>586420.11129971896</v>
      </c>
      <c r="L13" s="460">
        <v>213685.18696627699</v>
      </c>
      <c r="M13" s="460">
        <v>402077.73578174302</v>
      </c>
      <c r="N13" s="460">
        <v>615762.92274802004</v>
      </c>
      <c r="O13" s="588">
        <v>46956.983685788997</v>
      </c>
      <c r="P13" s="588">
        <v>22774.385530400101</v>
      </c>
      <c r="Q13" s="588">
        <v>0</v>
      </c>
      <c r="R13" s="588">
        <v>136151.32469297599</v>
      </c>
      <c r="S13" s="592">
        <v>0</v>
      </c>
      <c r="T13" s="592">
        <v>0</v>
      </c>
      <c r="U13" s="592">
        <v>7802.4930571121304</v>
      </c>
      <c r="V13" s="592">
        <v>0</v>
      </c>
      <c r="W13" s="592">
        <v>0</v>
      </c>
      <c r="X13" s="592">
        <v>0</v>
      </c>
      <c r="Y13" s="592">
        <v>0</v>
      </c>
      <c r="Z13" s="592">
        <v>0</v>
      </c>
      <c r="AA13" s="592">
        <v>402077.73578174302</v>
      </c>
      <c r="AB13" s="592">
        <v>0</v>
      </c>
      <c r="AC13" s="592">
        <v>826451.78429499501</v>
      </c>
      <c r="AD13" s="592">
        <v>0</v>
      </c>
      <c r="AE13" s="592">
        <v>254624.43415843</v>
      </c>
      <c r="AF13" s="592">
        <v>8417519.8323486205</v>
      </c>
      <c r="AG13" s="592">
        <v>5471387.9766136101</v>
      </c>
      <c r="AH13" s="592">
        <v>0</v>
      </c>
      <c r="AI13" s="592">
        <v>0</v>
      </c>
      <c r="AJ13" s="460">
        <v>9.3174137003128404E-2</v>
      </c>
      <c r="AK13" s="460">
        <v>0</v>
      </c>
      <c r="AL13" s="460">
        <v>0.15732196828310699</v>
      </c>
      <c r="AM13" s="460">
        <v>0.118266944607281</v>
      </c>
      <c r="AN13" s="460">
        <v>0.107179405629112</v>
      </c>
      <c r="AO13" s="460">
        <v>6.8124381953285795E-2</v>
      </c>
      <c r="AP13" s="460">
        <v>0.26528828266122401</v>
      </c>
      <c r="AQ13" s="460">
        <v>-6.4147831279979001E-2</v>
      </c>
      <c r="AR13" s="460">
        <v>-2.5092807604152501E-2</v>
      </c>
      <c r="AS13" s="460">
        <v>-1.4005268625984E-2</v>
      </c>
      <c r="AT13" s="460">
        <v>2.5049755049842502E-2</v>
      </c>
      <c r="AU13" s="460">
        <v>0</v>
      </c>
      <c r="AV13" s="460">
        <v>0</v>
      </c>
      <c r="AW13" s="460">
        <v>0</v>
      </c>
      <c r="AX13" s="460">
        <v>0</v>
      </c>
      <c r="AY13" s="460">
        <v>-0.17211414565809599</v>
      </c>
      <c r="AZ13" s="460">
        <v>0</v>
      </c>
    </row>
    <row r="14" spans="1:52" x14ac:dyDescent="0.2">
      <c r="A14" s="588" t="s">
        <v>391</v>
      </c>
      <c r="B14" s="588" t="s">
        <v>231</v>
      </c>
      <c r="C14" s="588" t="s">
        <v>54</v>
      </c>
      <c r="D14" s="588">
        <v>10400.94</v>
      </c>
      <c r="E14" s="588">
        <v>2.2837940454038002</v>
      </c>
      <c r="F14" s="589">
        <v>2.08515320735412E-2</v>
      </c>
      <c r="G14" s="589">
        <v>2.0832048848244501E-2</v>
      </c>
      <c r="H14" s="588">
        <v>1658.7815666039</v>
      </c>
      <c r="I14" s="588">
        <v>5650.0961680242899</v>
      </c>
      <c r="J14" s="588">
        <v>350519.93824005499</v>
      </c>
      <c r="K14" s="588">
        <v>350847.76288070797</v>
      </c>
      <c r="L14" s="460">
        <v>347376.67864499602</v>
      </c>
      <c r="M14" s="460">
        <v>3744.3384000000001</v>
      </c>
      <c r="N14" s="460">
        <v>351121.01704499603</v>
      </c>
      <c r="O14" s="588">
        <v>24529.0290130908</v>
      </c>
      <c r="P14" s="588">
        <v>31212.955314799401</v>
      </c>
      <c r="Q14" s="588">
        <v>25750.480164481301</v>
      </c>
      <c r="R14" s="588">
        <v>259641.69534584199</v>
      </c>
      <c r="S14" s="592">
        <v>0</v>
      </c>
      <c r="T14" s="592">
        <v>0</v>
      </c>
      <c r="U14" s="592">
        <v>6242.5188067822501</v>
      </c>
      <c r="V14" s="592">
        <v>0</v>
      </c>
      <c r="W14" s="592">
        <v>0</v>
      </c>
      <c r="X14" s="592">
        <v>0</v>
      </c>
      <c r="Y14" s="592">
        <v>0</v>
      </c>
      <c r="Z14" s="592">
        <v>0</v>
      </c>
      <c r="AA14" s="592">
        <v>3744.3384000000001</v>
      </c>
      <c r="AB14" s="592">
        <v>0</v>
      </c>
      <c r="AC14" s="592">
        <v>2912.2631999999999</v>
      </c>
      <c r="AD14" s="592">
        <v>0</v>
      </c>
      <c r="AE14" s="592">
        <v>-499.24513983821902</v>
      </c>
      <c r="AF14" s="592">
        <v>84568.470394824995</v>
      </c>
      <c r="AG14" s="592">
        <v>54969.507772905701</v>
      </c>
      <c r="AH14" s="592">
        <v>2634.3062791391399</v>
      </c>
      <c r="AI14" s="592">
        <v>1448.8684535265199</v>
      </c>
      <c r="AJ14" s="460">
        <v>0.102786006223057</v>
      </c>
      <c r="AK14" s="460">
        <v>1.1448807257597799</v>
      </c>
      <c r="AL14" s="460">
        <v>4.9294222535083696</v>
      </c>
      <c r="AM14" s="460">
        <v>4.4204200977093697E-2</v>
      </c>
      <c r="AN14" s="460">
        <v>4.9340325078836003</v>
      </c>
      <c r="AO14" s="460">
        <v>4.8814455352330997E-2</v>
      </c>
      <c r="AP14" s="460">
        <v>5.08428118420058</v>
      </c>
      <c r="AQ14" s="460">
        <v>-4.8266362472853102</v>
      </c>
      <c r="AR14" s="460">
        <v>5.8581805245963597E-2</v>
      </c>
      <c r="AS14" s="460">
        <v>-4.8312465016605497</v>
      </c>
      <c r="AT14" s="460">
        <v>5.3971550870726297E-2</v>
      </c>
      <c r="AU14" s="460">
        <v>-53.761431276730399</v>
      </c>
      <c r="AV14" s="460">
        <v>0.65251275120826602</v>
      </c>
      <c r="AW14" s="460">
        <v>-53.812782541061097</v>
      </c>
      <c r="AX14" s="460">
        <v>0.601161486877549</v>
      </c>
      <c r="AY14" s="460">
        <v>-4.9814951779775196</v>
      </c>
      <c r="AZ14" s="460">
        <v>-55.4863256614439</v>
      </c>
    </row>
    <row r="15" spans="1:52" x14ac:dyDescent="0.2">
      <c r="A15" s="588" t="s">
        <v>392</v>
      </c>
      <c r="B15" s="588" t="s">
        <v>231</v>
      </c>
      <c r="C15" s="588" t="s">
        <v>55</v>
      </c>
      <c r="D15" s="588">
        <v>50310.29232</v>
      </c>
      <c r="E15" s="588">
        <v>11.5447884216421</v>
      </c>
      <c r="F15" s="589">
        <v>2.9834013893980701E-2</v>
      </c>
      <c r="G15" s="589">
        <v>3.01227148233578E-2</v>
      </c>
      <c r="H15" s="588">
        <v>0</v>
      </c>
      <c r="I15" s="588">
        <v>15808.502262407599</v>
      </c>
      <c r="J15" s="588">
        <v>529881.84287187597</v>
      </c>
      <c r="K15" s="588">
        <v>524803.37031738495</v>
      </c>
      <c r="L15" s="460">
        <v>511676.50242200401</v>
      </c>
      <c r="M15" s="460">
        <v>14160.254316709599</v>
      </c>
      <c r="N15" s="460">
        <v>525836.75673871301</v>
      </c>
      <c r="O15" s="588">
        <v>41743.238257818703</v>
      </c>
      <c r="P15" s="588">
        <v>25978.905701691001</v>
      </c>
      <c r="Q15" s="588">
        <v>59418.3907701688</v>
      </c>
      <c r="R15" s="588">
        <v>379854.29707102699</v>
      </c>
      <c r="S15" s="592">
        <v>0</v>
      </c>
      <c r="T15" s="592">
        <v>0</v>
      </c>
      <c r="U15" s="592">
        <v>4681.6706212981298</v>
      </c>
      <c r="V15" s="592">
        <v>0</v>
      </c>
      <c r="W15" s="592">
        <v>0</v>
      </c>
      <c r="X15" s="592">
        <v>0</v>
      </c>
      <c r="Y15" s="592">
        <v>0</v>
      </c>
      <c r="Z15" s="592">
        <v>0</v>
      </c>
      <c r="AA15" s="592">
        <v>14160.254316709599</v>
      </c>
      <c r="AB15" s="592">
        <v>0</v>
      </c>
      <c r="AC15" s="592">
        <v>21499.103945310799</v>
      </c>
      <c r="AD15" s="592">
        <v>0</v>
      </c>
      <c r="AE15" s="592">
        <v>4403.3099521325203</v>
      </c>
      <c r="AF15" s="592">
        <v>253907.81217569401</v>
      </c>
      <c r="AG15" s="592">
        <v>165040.083967835</v>
      </c>
      <c r="AH15" s="592">
        <v>0</v>
      </c>
      <c r="AI15" s="592">
        <v>0</v>
      </c>
      <c r="AJ15" s="460">
        <v>9.5785835067125999E-2</v>
      </c>
      <c r="AK15" s="460">
        <v>0</v>
      </c>
      <c r="AL15" s="460">
        <v>3.21062514107268</v>
      </c>
      <c r="AM15" s="460">
        <v>0.110308599051734</v>
      </c>
      <c r="AN15" s="460">
        <v>3.1798539948614302</v>
      </c>
      <c r="AO15" s="460">
        <v>7.9537452840485703E-2</v>
      </c>
      <c r="AP15" s="460">
        <v>3.33892023710527</v>
      </c>
      <c r="AQ15" s="460">
        <v>-3.1148393060055501</v>
      </c>
      <c r="AR15" s="460">
        <v>-1.45227639846077E-2</v>
      </c>
      <c r="AS15" s="460">
        <v>-3.0840681597942998</v>
      </c>
      <c r="AT15" s="460">
        <v>1.6248382226640198E-2</v>
      </c>
      <c r="AU15" s="460">
        <v>0</v>
      </c>
      <c r="AV15" s="460">
        <v>0</v>
      </c>
      <c r="AW15" s="460">
        <v>0</v>
      </c>
      <c r="AX15" s="460">
        <v>0</v>
      </c>
      <c r="AY15" s="460">
        <v>-3.2431344020381401</v>
      </c>
      <c r="AZ15" s="460">
        <v>0</v>
      </c>
    </row>
    <row r="16" spans="1:52" x14ac:dyDescent="0.2">
      <c r="A16" s="588" t="s">
        <v>393</v>
      </c>
      <c r="B16" s="588" t="s">
        <v>231</v>
      </c>
      <c r="C16" s="588" t="s">
        <v>56</v>
      </c>
      <c r="D16" s="588">
        <v>44965.68</v>
      </c>
      <c r="E16" s="588">
        <v>0</v>
      </c>
      <c r="F16" s="589">
        <v>0.10909030420940399</v>
      </c>
      <c r="G16" s="589">
        <v>0.122705354413899</v>
      </c>
      <c r="H16" s="588">
        <v>0</v>
      </c>
      <c r="I16" s="588">
        <v>23861.1225765774</v>
      </c>
      <c r="J16" s="588">
        <v>218728.16974435101</v>
      </c>
      <c r="K16" s="588">
        <v>194458.690825269</v>
      </c>
      <c r="L16" s="460">
        <v>186450.52976921399</v>
      </c>
      <c r="M16" s="460">
        <v>8638.5875188709797</v>
      </c>
      <c r="N16" s="460">
        <v>195089.11728808499</v>
      </c>
      <c r="O16" s="588">
        <v>14237.6654554051</v>
      </c>
      <c r="P16" s="588">
        <v>17947.170652081699</v>
      </c>
      <c r="Q16" s="588">
        <v>16983.348970639101</v>
      </c>
      <c r="R16" s="588">
        <v>132600.67406978999</v>
      </c>
      <c r="S16" s="592">
        <v>0</v>
      </c>
      <c r="T16" s="592">
        <v>0</v>
      </c>
      <c r="U16" s="592">
        <v>4681.6706212981298</v>
      </c>
      <c r="V16" s="592">
        <v>0</v>
      </c>
      <c r="W16" s="592">
        <v>0</v>
      </c>
      <c r="X16" s="592">
        <v>0</v>
      </c>
      <c r="Y16" s="592">
        <v>0</v>
      </c>
      <c r="Z16" s="592">
        <v>0</v>
      </c>
      <c r="AA16" s="592">
        <v>8638.5875188709797</v>
      </c>
      <c r="AB16" s="592">
        <v>0</v>
      </c>
      <c r="AC16" s="592">
        <v>48251.071807562999</v>
      </c>
      <c r="AD16" s="592">
        <v>0</v>
      </c>
      <c r="AE16" s="592">
        <v>23767.4915176504</v>
      </c>
      <c r="AF16" s="592">
        <v>309947.21352360299</v>
      </c>
      <c r="AG16" s="592">
        <v>201465.69618005899</v>
      </c>
      <c r="AH16" s="592">
        <v>0</v>
      </c>
      <c r="AI16" s="592">
        <v>0</v>
      </c>
      <c r="AJ16" s="460">
        <v>0.11843764486462</v>
      </c>
      <c r="AK16" s="460">
        <v>0</v>
      </c>
      <c r="AL16" s="460">
        <v>1.0856844311046601</v>
      </c>
      <c r="AM16" s="460">
        <v>0.16021407409373001</v>
      </c>
      <c r="AN16" s="460">
        <v>0.96521985882635097</v>
      </c>
      <c r="AO16" s="460">
        <v>3.9749501815425102E-2</v>
      </c>
      <c r="AP16" s="460">
        <v>1.1238922179208699</v>
      </c>
      <c r="AQ16" s="460">
        <v>-0.96724678624003502</v>
      </c>
      <c r="AR16" s="460">
        <v>-4.1776429229109298E-2</v>
      </c>
      <c r="AS16" s="460">
        <v>-0.84678221396173003</v>
      </c>
      <c r="AT16" s="460">
        <v>7.8688143049195303E-2</v>
      </c>
      <c r="AU16" s="460">
        <v>0</v>
      </c>
      <c r="AV16" s="460">
        <v>0</v>
      </c>
      <c r="AW16" s="460">
        <v>0</v>
      </c>
      <c r="AX16" s="460">
        <v>0</v>
      </c>
      <c r="AY16" s="460">
        <v>-1.0054545730562501</v>
      </c>
      <c r="AZ16" s="460">
        <v>0</v>
      </c>
    </row>
    <row r="17" spans="1:52" x14ac:dyDescent="0.2">
      <c r="A17" s="588" t="s">
        <v>394</v>
      </c>
      <c r="B17" s="588" t="s">
        <v>231</v>
      </c>
      <c r="C17" s="588" t="s">
        <v>57</v>
      </c>
      <c r="D17" s="588">
        <v>126465.97500000001</v>
      </c>
      <c r="E17" s="588">
        <v>4.81225171232877</v>
      </c>
      <c r="F17" s="589">
        <v>0.124399339665099</v>
      </c>
      <c r="G17" s="589">
        <v>0.139800867885081</v>
      </c>
      <c r="H17" s="588">
        <v>0</v>
      </c>
      <c r="I17" s="588">
        <v>52777.815089837</v>
      </c>
      <c r="J17" s="588">
        <v>424261.215790394</v>
      </c>
      <c r="K17" s="588">
        <v>377521.36941825901</v>
      </c>
      <c r="L17" s="460">
        <v>356696.31043002702</v>
      </c>
      <c r="M17" s="460">
        <v>22464.470106962399</v>
      </c>
      <c r="N17" s="460">
        <v>379160.78053698997</v>
      </c>
      <c r="O17" s="588">
        <v>25147.8869156814</v>
      </c>
      <c r="P17" s="588">
        <v>20233.061707602501</v>
      </c>
      <c r="Q17" s="588">
        <v>20208.457004331001</v>
      </c>
      <c r="R17" s="588">
        <v>285905.24276433798</v>
      </c>
      <c r="S17" s="592">
        <v>0</v>
      </c>
      <c r="T17" s="592">
        <v>0</v>
      </c>
      <c r="U17" s="592">
        <v>5201.6620380747499</v>
      </c>
      <c r="V17" s="592">
        <v>0</v>
      </c>
      <c r="W17" s="592">
        <v>0</v>
      </c>
      <c r="X17" s="592">
        <v>0</v>
      </c>
      <c r="Y17" s="592">
        <v>0</v>
      </c>
      <c r="Z17" s="592">
        <v>0</v>
      </c>
      <c r="AA17" s="592">
        <v>22464.470106962399</v>
      </c>
      <c r="AB17" s="592">
        <v>0</v>
      </c>
      <c r="AC17" s="592">
        <v>98304.657775529704</v>
      </c>
      <c r="AD17" s="592">
        <v>0</v>
      </c>
      <c r="AE17" s="592">
        <v>45504.114409311398</v>
      </c>
      <c r="AF17" s="592">
        <v>733726.39391435101</v>
      </c>
      <c r="AG17" s="592">
        <v>476922.17353772902</v>
      </c>
      <c r="AH17" s="592">
        <v>0</v>
      </c>
      <c r="AI17" s="592">
        <v>0</v>
      </c>
      <c r="AJ17" s="460">
        <v>0.110663370290251</v>
      </c>
      <c r="AK17" s="460">
        <v>0</v>
      </c>
      <c r="AL17" s="460">
        <v>0.88958165363395603</v>
      </c>
      <c r="AM17" s="460">
        <v>0.14166861829715499</v>
      </c>
      <c r="AN17" s="460">
        <v>0.79157856431347895</v>
      </c>
      <c r="AO17" s="460">
        <v>4.3665528976677803E-2</v>
      </c>
      <c r="AP17" s="460">
        <v>0.94856020099779004</v>
      </c>
      <c r="AQ17" s="460">
        <v>-0.77891828334370605</v>
      </c>
      <c r="AR17" s="460">
        <v>-3.10052480069044E-2</v>
      </c>
      <c r="AS17" s="460">
        <v>-0.68091519402322798</v>
      </c>
      <c r="AT17" s="460">
        <v>6.69978413135731E-2</v>
      </c>
      <c r="AU17" s="460">
        <v>0</v>
      </c>
      <c r="AV17" s="460">
        <v>0</v>
      </c>
      <c r="AW17" s="460">
        <v>0</v>
      </c>
      <c r="AX17" s="460">
        <v>0</v>
      </c>
      <c r="AY17" s="460">
        <v>-0.83789683070753895</v>
      </c>
      <c r="AZ17" s="460">
        <v>0</v>
      </c>
    </row>
    <row r="18" spans="1:52" x14ac:dyDescent="0.2">
      <c r="A18" s="588" t="s">
        <v>395</v>
      </c>
      <c r="B18" s="588" t="s">
        <v>231</v>
      </c>
      <c r="C18" s="588" t="s">
        <v>58</v>
      </c>
      <c r="D18" s="588">
        <v>101294.1243</v>
      </c>
      <c r="E18" s="588">
        <v>27.3037718168653</v>
      </c>
      <c r="F18" s="589">
        <v>8.7954798587882799E-2</v>
      </c>
      <c r="G18" s="589">
        <v>9.5765468652757493E-2</v>
      </c>
      <c r="H18" s="588">
        <v>7.6760015803009303</v>
      </c>
      <c r="I18" s="588">
        <v>17121.554754509401</v>
      </c>
      <c r="J18" s="588">
        <v>194750.38350493801</v>
      </c>
      <c r="K18" s="588">
        <v>178866.46405083401</v>
      </c>
      <c r="L18" s="460">
        <v>164996.11260644099</v>
      </c>
      <c r="M18" s="460">
        <v>14962.2671211502</v>
      </c>
      <c r="N18" s="460">
        <v>179958.379727591</v>
      </c>
      <c r="O18" s="588">
        <v>11973.6057824116</v>
      </c>
      <c r="P18" s="588">
        <v>15355.6891222552</v>
      </c>
      <c r="Q18" s="588">
        <v>7961.8762564531999</v>
      </c>
      <c r="R18" s="588">
        <v>127101.48862082099</v>
      </c>
      <c r="S18" s="592">
        <v>0</v>
      </c>
      <c r="T18" s="592">
        <v>0</v>
      </c>
      <c r="U18" s="592">
        <v>2603.4528245001202</v>
      </c>
      <c r="V18" s="592">
        <v>0</v>
      </c>
      <c r="W18" s="592">
        <v>0</v>
      </c>
      <c r="X18" s="592">
        <v>0</v>
      </c>
      <c r="Y18" s="592">
        <v>0</v>
      </c>
      <c r="Z18" s="592">
        <v>0</v>
      </c>
      <c r="AA18" s="592">
        <v>14962.2671211502</v>
      </c>
      <c r="AB18" s="592">
        <v>0</v>
      </c>
      <c r="AC18" s="592">
        <v>40171.859872208901</v>
      </c>
      <c r="AD18" s="592">
        <v>0</v>
      </c>
      <c r="AE18" s="592">
        <v>15125.7562516787</v>
      </c>
      <c r="AF18" s="592">
        <v>318832.43677519797</v>
      </c>
      <c r="AG18" s="592">
        <v>207241.09150543701</v>
      </c>
      <c r="AH18" s="592">
        <v>12.420852550209601</v>
      </c>
      <c r="AI18" s="592">
        <v>6.8314689026152804</v>
      </c>
      <c r="AJ18" s="460">
        <v>8.2616601901367104E-2</v>
      </c>
      <c r="AK18" s="460">
        <v>1.1236238779279699</v>
      </c>
      <c r="AL18" s="460">
        <v>0.93930749916751999</v>
      </c>
      <c r="AM18" s="460">
        <v>0.143508881904263</v>
      </c>
      <c r="AN18" s="460">
        <v>0.86269720248466797</v>
      </c>
      <c r="AO18" s="460">
        <v>6.6898585221411302E-2</v>
      </c>
      <c r="AP18" s="460">
        <v>1.0125502902924799</v>
      </c>
      <c r="AQ18" s="460">
        <v>-0.856690897266153</v>
      </c>
      <c r="AR18" s="460">
        <v>-6.0892280002896197E-2</v>
      </c>
      <c r="AS18" s="460">
        <v>-0.78008060058330098</v>
      </c>
      <c r="AT18" s="460">
        <v>1.5718016679955801E-2</v>
      </c>
      <c r="AU18" s="460">
        <v>-11.6513911976327</v>
      </c>
      <c r="AV18" s="460">
        <v>-0.82816308366728597</v>
      </c>
      <c r="AW18" s="460">
        <v>-10.6094558400059</v>
      </c>
      <c r="AX18" s="460">
        <v>0.21377227395947301</v>
      </c>
      <c r="AY18" s="460">
        <v>-0.92993368839111401</v>
      </c>
      <c r="AZ18" s="460">
        <v>-12.647526927015001</v>
      </c>
    </row>
    <row r="19" spans="1:52" x14ac:dyDescent="0.2">
      <c r="A19" s="588" t="s">
        <v>182</v>
      </c>
      <c r="B19" s="588" t="s">
        <v>231</v>
      </c>
      <c r="C19" s="588" t="s">
        <v>41</v>
      </c>
      <c r="D19" s="588">
        <v>1155660</v>
      </c>
      <c r="E19" s="588">
        <v>87.586863157894697</v>
      </c>
      <c r="F19" s="589">
        <v>0.72385364493151205</v>
      </c>
      <c r="G19" s="589">
        <v>0.61361288235835598</v>
      </c>
      <c r="H19" s="588">
        <v>0</v>
      </c>
      <c r="I19" s="588">
        <v>614741.64076331595</v>
      </c>
      <c r="J19" s="588">
        <v>849262.34062340099</v>
      </c>
      <c r="K19" s="588">
        <v>1001839.5285324201</v>
      </c>
      <c r="L19" s="460">
        <v>744722.17773893801</v>
      </c>
      <c r="M19" s="460">
        <v>277358.40000000002</v>
      </c>
      <c r="N19" s="460">
        <v>1022080.57773894</v>
      </c>
      <c r="O19" s="588">
        <v>62314.9607855629</v>
      </c>
      <c r="P19" s="588">
        <v>12264.4882149926</v>
      </c>
      <c r="Q19" s="588">
        <v>6870.1445150347799</v>
      </c>
      <c r="R19" s="588">
        <v>654533.23268088396</v>
      </c>
      <c r="S19" s="592">
        <v>0</v>
      </c>
      <c r="T19" s="592">
        <v>0</v>
      </c>
      <c r="U19" s="592">
        <v>8739.3515424642992</v>
      </c>
      <c r="V19" s="592">
        <v>0</v>
      </c>
      <c r="W19" s="592">
        <v>0</v>
      </c>
      <c r="X19" s="592">
        <v>0</v>
      </c>
      <c r="Y19" s="592">
        <v>0</v>
      </c>
      <c r="Z19" s="592">
        <v>0</v>
      </c>
      <c r="AA19" s="592">
        <v>277358.40000000002</v>
      </c>
      <c r="AB19" s="592">
        <v>0</v>
      </c>
      <c r="AC19" s="592">
        <v>67409.647800000006</v>
      </c>
      <c r="AD19" s="592">
        <v>0</v>
      </c>
      <c r="AE19" s="592">
        <v>-167959.004262784</v>
      </c>
      <c r="AF19" s="592">
        <v>7537375.7456137901</v>
      </c>
      <c r="AG19" s="592">
        <v>6406769.4736242499</v>
      </c>
      <c r="AH19" s="592">
        <v>0</v>
      </c>
      <c r="AI19" s="592">
        <v>0</v>
      </c>
      <c r="AJ19" s="460">
        <v>9.5951890152146002E-2</v>
      </c>
      <c r="AK19" s="460">
        <v>0</v>
      </c>
      <c r="AL19" s="460">
        <v>0.132557031140217</v>
      </c>
      <c r="AM19" s="460">
        <v>1.63171413166712E-2</v>
      </c>
      <c r="AN19" s="460">
        <v>0.15637202690948299</v>
      </c>
      <c r="AO19" s="460">
        <v>4.0132137085936999E-2</v>
      </c>
      <c r="AP19" s="460">
        <v>0.31389872625670301</v>
      </c>
      <c r="AQ19" s="460">
        <v>-3.6605140988071001E-2</v>
      </c>
      <c r="AR19" s="460">
        <v>7.9634748835474806E-2</v>
      </c>
      <c r="AS19" s="460">
        <v>-6.04201367573367E-2</v>
      </c>
      <c r="AT19" s="460">
        <v>5.58197530662091E-2</v>
      </c>
      <c r="AU19" s="460">
        <v>0</v>
      </c>
      <c r="AV19" s="460">
        <v>0</v>
      </c>
      <c r="AW19" s="460">
        <v>0</v>
      </c>
      <c r="AX19" s="460">
        <v>0</v>
      </c>
      <c r="AY19" s="460">
        <v>-0.21794683610455701</v>
      </c>
      <c r="AZ19" s="460">
        <v>0</v>
      </c>
    </row>
    <row r="20" spans="1:52" x14ac:dyDescent="0.2">
      <c r="A20" s="588" t="s">
        <v>396</v>
      </c>
      <c r="B20" s="588" t="s">
        <v>231</v>
      </c>
      <c r="C20" s="588" t="s">
        <v>202</v>
      </c>
      <c r="D20" s="588">
        <v>0</v>
      </c>
      <c r="E20" s="588">
        <v>0</v>
      </c>
      <c r="F20" s="589">
        <v>0</v>
      </c>
      <c r="G20" s="589">
        <v>0</v>
      </c>
      <c r="H20" s="588">
        <v>0</v>
      </c>
      <c r="I20" s="588">
        <v>0</v>
      </c>
      <c r="J20" s="588">
        <v>77462.164449139396</v>
      </c>
      <c r="K20" s="588">
        <v>77462.164449139396</v>
      </c>
      <c r="L20" s="460">
        <v>77462.164449139396</v>
      </c>
      <c r="M20" s="460">
        <v>0</v>
      </c>
      <c r="N20" s="460">
        <v>77462.164449139396</v>
      </c>
      <c r="O20" s="588">
        <v>5647.1780272138203</v>
      </c>
      <c r="P20" s="588">
        <v>20090.0193579275</v>
      </c>
      <c r="Q20" s="588">
        <v>5816.2351117709304</v>
      </c>
      <c r="R20" s="588">
        <v>41227.061330928998</v>
      </c>
      <c r="S20" s="592">
        <v>0</v>
      </c>
      <c r="T20" s="592">
        <v>0</v>
      </c>
      <c r="U20" s="592">
        <v>4681.6706212981298</v>
      </c>
      <c r="V20" s="592">
        <v>0</v>
      </c>
      <c r="W20" s="592">
        <v>0</v>
      </c>
      <c r="X20" s="592">
        <v>0</v>
      </c>
      <c r="Y20" s="592">
        <v>0</v>
      </c>
      <c r="Z20" s="592">
        <v>0</v>
      </c>
      <c r="AA20" s="592">
        <v>0</v>
      </c>
      <c r="AB20" s="592">
        <v>0</v>
      </c>
      <c r="AC20" s="592">
        <v>0</v>
      </c>
      <c r="AD20" s="592">
        <v>0</v>
      </c>
      <c r="AE20" s="592">
        <v>0</v>
      </c>
      <c r="AF20" s="592">
        <v>0</v>
      </c>
      <c r="AG20" s="592">
        <v>0</v>
      </c>
      <c r="AH20" s="592">
        <v>0</v>
      </c>
      <c r="AI20" s="592">
        <v>0</v>
      </c>
      <c r="AJ20" s="460">
        <v>0</v>
      </c>
      <c r="AK20" s="460">
        <v>0</v>
      </c>
      <c r="AL20" s="460">
        <v>0</v>
      </c>
      <c r="AM20" s="460">
        <v>0</v>
      </c>
      <c r="AN20" s="460">
        <v>0</v>
      </c>
      <c r="AO20" s="460">
        <v>0</v>
      </c>
      <c r="AP20" s="460">
        <v>0</v>
      </c>
      <c r="AQ20" s="460">
        <v>0</v>
      </c>
      <c r="AR20" s="460">
        <v>0</v>
      </c>
      <c r="AS20" s="460">
        <v>0</v>
      </c>
      <c r="AT20" s="460">
        <v>0</v>
      </c>
      <c r="AU20" s="460">
        <v>0</v>
      </c>
      <c r="AV20" s="460">
        <v>0</v>
      </c>
      <c r="AW20" s="460">
        <v>0</v>
      </c>
      <c r="AX20" s="460">
        <v>0</v>
      </c>
      <c r="AY20" s="460">
        <v>0</v>
      </c>
      <c r="AZ20" s="460">
        <v>0</v>
      </c>
    </row>
    <row r="21" spans="1:52" x14ac:dyDescent="0.2">
      <c r="A21" s="588" t="s">
        <v>397</v>
      </c>
      <c r="B21" s="588" t="s">
        <v>231</v>
      </c>
      <c r="C21" s="588" t="s">
        <v>60</v>
      </c>
      <c r="D21" s="588">
        <v>104778.43919999999</v>
      </c>
      <c r="E21" s="588">
        <v>1.4387513052386101</v>
      </c>
      <c r="F21" s="589">
        <v>0.176135905904307</v>
      </c>
      <c r="G21" s="589">
        <v>0.31174092362481498</v>
      </c>
      <c r="H21" s="588">
        <v>0</v>
      </c>
      <c r="I21" s="588">
        <v>39264.8982912137</v>
      </c>
      <c r="J21" s="588">
        <v>222923.87284478999</v>
      </c>
      <c r="K21" s="588">
        <v>125953.621470852</v>
      </c>
      <c r="L21" s="460">
        <v>105874.637264046</v>
      </c>
      <c r="M21" s="460">
        <v>21659.662080518399</v>
      </c>
      <c r="N21" s="460">
        <v>127534.299344564</v>
      </c>
      <c r="O21" s="588">
        <v>10080.9791457867</v>
      </c>
      <c r="P21" s="588">
        <v>9428.7200750068005</v>
      </c>
      <c r="Q21" s="588">
        <v>0</v>
      </c>
      <c r="R21" s="588">
        <v>83578.398763868798</v>
      </c>
      <c r="S21" s="592">
        <v>0</v>
      </c>
      <c r="T21" s="592">
        <v>0</v>
      </c>
      <c r="U21" s="592">
        <v>2786.5392793833498</v>
      </c>
      <c r="V21" s="592">
        <v>0</v>
      </c>
      <c r="W21" s="592">
        <v>0</v>
      </c>
      <c r="X21" s="592">
        <v>0</v>
      </c>
      <c r="Y21" s="592">
        <v>0</v>
      </c>
      <c r="Z21" s="592">
        <v>0</v>
      </c>
      <c r="AA21" s="592">
        <v>21659.662080518399</v>
      </c>
      <c r="AB21" s="592">
        <v>0</v>
      </c>
      <c r="AC21" s="592">
        <v>179760.62433082901</v>
      </c>
      <c r="AD21" s="592">
        <v>0</v>
      </c>
      <c r="AE21" s="592">
        <v>95015.841523987605</v>
      </c>
      <c r="AF21" s="592">
        <v>407208.66838841903</v>
      </c>
      <c r="AG21" s="592">
        <v>281854.42417463101</v>
      </c>
      <c r="AH21" s="592">
        <v>0</v>
      </c>
      <c r="AI21" s="592">
        <v>0</v>
      </c>
      <c r="AJ21" s="460">
        <v>0.13930914303082201</v>
      </c>
      <c r="AK21" s="460">
        <v>0</v>
      </c>
      <c r="AL21" s="460">
        <v>0.79091848033817402</v>
      </c>
      <c r="AM21" s="460">
        <v>0.41528259108760202</v>
      </c>
      <c r="AN21" s="460">
        <v>0.44687473627454399</v>
      </c>
      <c r="AO21" s="460">
        <v>7.1238847023971194E-2</v>
      </c>
      <c r="AP21" s="460">
        <v>0.59815641572102896</v>
      </c>
      <c r="AQ21" s="460">
        <v>-0.65160933730735204</v>
      </c>
      <c r="AR21" s="460">
        <v>-0.27597344805677998</v>
      </c>
      <c r="AS21" s="460">
        <v>-0.30756559324372201</v>
      </c>
      <c r="AT21" s="460">
        <v>6.8070296006850897E-2</v>
      </c>
      <c r="AU21" s="460">
        <v>0</v>
      </c>
      <c r="AV21" s="460">
        <v>0</v>
      </c>
      <c r="AW21" s="460">
        <v>0</v>
      </c>
      <c r="AX21" s="460">
        <v>0</v>
      </c>
      <c r="AY21" s="460">
        <v>-0.45884727269020598</v>
      </c>
      <c r="AZ21" s="460">
        <v>0</v>
      </c>
    </row>
    <row r="22" spans="1:52" x14ac:dyDescent="0.2">
      <c r="A22" s="588" t="s">
        <v>398</v>
      </c>
      <c r="B22" s="588" t="s">
        <v>231</v>
      </c>
      <c r="C22" s="588" t="s">
        <v>89</v>
      </c>
      <c r="D22" s="588">
        <v>0</v>
      </c>
      <c r="E22" s="588">
        <v>0</v>
      </c>
      <c r="F22" s="589">
        <v>0</v>
      </c>
      <c r="G22" s="589">
        <v>0</v>
      </c>
      <c r="H22" s="588">
        <v>0</v>
      </c>
      <c r="I22" s="588">
        <v>0</v>
      </c>
      <c r="J22" s="588">
        <v>1010245.56681832</v>
      </c>
      <c r="K22" s="588">
        <v>1010245.56681832</v>
      </c>
      <c r="L22" s="460">
        <v>1010245.56681832</v>
      </c>
      <c r="M22" s="460">
        <v>0</v>
      </c>
      <c r="N22" s="460">
        <v>1010245.56681832</v>
      </c>
      <c r="O22" s="588">
        <v>63675.787312193301</v>
      </c>
      <c r="P22" s="588">
        <v>7491.1464294089101</v>
      </c>
      <c r="Q22" s="588">
        <v>0</v>
      </c>
      <c r="R22" s="588">
        <v>939078.63307671796</v>
      </c>
      <c r="S22" s="592">
        <v>0</v>
      </c>
      <c r="T22" s="592">
        <v>0</v>
      </c>
      <c r="U22" s="592">
        <v>0</v>
      </c>
      <c r="V22" s="592">
        <v>0</v>
      </c>
      <c r="W22" s="592">
        <v>0</v>
      </c>
      <c r="X22" s="592">
        <v>0</v>
      </c>
      <c r="Y22" s="592">
        <v>0</v>
      </c>
      <c r="Z22" s="592">
        <v>0</v>
      </c>
      <c r="AA22" s="592">
        <v>0</v>
      </c>
      <c r="AB22" s="592">
        <v>0</v>
      </c>
      <c r="AC22" s="592">
        <v>0</v>
      </c>
      <c r="AD22" s="592">
        <v>0</v>
      </c>
      <c r="AE22" s="592">
        <v>0</v>
      </c>
      <c r="AF22" s="592">
        <v>0</v>
      </c>
      <c r="AG22" s="592">
        <v>0</v>
      </c>
      <c r="AH22" s="592">
        <v>0</v>
      </c>
      <c r="AI22" s="592">
        <v>0</v>
      </c>
      <c r="AJ22" s="460">
        <v>0</v>
      </c>
      <c r="AK22" s="460">
        <v>0</v>
      </c>
      <c r="AL22" s="460">
        <v>0</v>
      </c>
      <c r="AM22" s="460">
        <v>0</v>
      </c>
      <c r="AN22" s="460">
        <v>0</v>
      </c>
      <c r="AO22" s="460">
        <v>0</v>
      </c>
      <c r="AP22" s="460">
        <v>0</v>
      </c>
      <c r="AQ22" s="460">
        <v>0</v>
      </c>
      <c r="AR22" s="460">
        <v>0</v>
      </c>
      <c r="AS22" s="460">
        <v>0</v>
      </c>
      <c r="AT22" s="460">
        <v>0</v>
      </c>
      <c r="AU22" s="460">
        <v>0</v>
      </c>
      <c r="AV22" s="460">
        <v>0</v>
      </c>
      <c r="AW22" s="460">
        <v>0</v>
      </c>
      <c r="AX22" s="460">
        <v>0</v>
      </c>
      <c r="AY22" s="460">
        <v>0</v>
      </c>
      <c r="AZ22" s="460">
        <v>0</v>
      </c>
    </row>
    <row r="23" spans="1:52" x14ac:dyDescent="0.2">
      <c r="A23" s="588" t="s">
        <v>183</v>
      </c>
      <c r="B23" s="588" t="s">
        <v>231</v>
      </c>
      <c r="C23" s="588" t="s">
        <v>201</v>
      </c>
      <c r="D23" s="588">
        <v>825523.74635833304</v>
      </c>
      <c r="E23" s="588">
        <v>179.80761706708699</v>
      </c>
      <c r="F23" s="589">
        <v>2.24054042687249</v>
      </c>
      <c r="G23" s="589">
        <v>2.6031381354511098</v>
      </c>
      <c r="H23" s="588">
        <v>-29.7609788099609</v>
      </c>
      <c r="I23" s="588">
        <v>477467.40094596898</v>
      </c>
      <c r="J23" s="588">
        <v>213090.392943099</v>
      </c>
      <c r="K23" s="588">
        <v>183408.492029341</v>
      </c>
      <c r="L23" s="460">
        <v>46564.0249567008</v>
      </c>
      <c r="M23" s="460">
        <v>147617.27405400001</v>
      </c>
      <c r="N23" s="460">
        <v>194181.29901070101</v>
      </c>
      <c r="O23" s="588">
        <v>9248.3732304826499</v>
      </c>
      <c r="P23" s="588">
        <v>9587.5528139316502</v>
      </c>
      <c r="Q23" s="588">
        <v>750.34859625145498</v>
      </c>
      <c r="R23" s="588">
        <v>24191.211036651701</v>
      </c>
      <c r="S23" s="592">
        <v>0</v>
      </c>
      <c r="T23" s="592">
        <v>0</v>
      </c>
      <c r="U23" s="592">
        <v>2786.5392793833498</v>
      </c>
      <c r="V23" s="592">
        <v>0</v>
      </c>
      <c r="W23" s="592">
        <v>0</v>
      </c>
      <c r="X23" s="592">
        <v>0</v>
      </c>
      <c r="Y23" s="592">
        <v>0</v>
      </c>
      <c r="Z23" s="592">
        <v>0</v>
      </c>
      <c r="AA23" s="592">
        <v>147617.27405400001</v>
      </c>
      <c r="AB23" s="592">
        <v>0</v>
      </c>
      <c r="AC23" s="592">
        <v>151734.56545064101</v>
      </c>
      <c r="AD23" s="592">
        <v>0</v>
      </c>
      <c r="AE23" s="592">
        <v>2470.3749361483801</v>
      </c>
      <c r="AF23" s="592">
        <v>5389732.9783385303</v>
      </c>
      <c r="AG23" s="592">
        <v>3458414.5639394899</v>
      </c>
      <c r="AH23" s="592">
        <v>-56.896975529713799</v>
      </c>
      <c r="AI23" s="592">
        <v>-31.293336541342601</v>
      </c>
      <c r="AJ23" s="460">
        <v>0.138059620128966</v>
      </c>
      <c r="AK23" s="460">
        <v>0.95103245927907798</v>
      </c>
      <c r="AL23" s="460">
        <v>6.1618892689064099E-2</v>
      </c>
      <c r="AM23" s="460">
        <v>4.8154073288482299E-2</v>
      </c>
      <c r="AN23" s="460">
        <v>5.3035840952420699E-2</v>
      </c>
      <c r="AO23" s="460">
        <v>3.9571021551838899E-2</v>
      </c>
      <c r="AP23" s="460">
        <v>0.21179188541524499</v>
      </c>
      <c r="AQ23" s="460">
        <v>7.6440727439901698E-2</v>
      </c>
      <c r="AR23" s="460">
        <v>8.9905546840483602E-2</v>
      </c>
      <c r="AS23" s="460">
        <v>8.5023779176545203E-2</v>
      </c>
      <c r="AT23" s="460">
        <v>9.8488598577126996E-2</v>
      </c>
      <c r="AU23" s="460">
        <v>0.52656680453224802</v>
      </c>
      <c r="AV23" s="460">
        <v>0.61932006791456995</v>
      </c>
      <c r="AW23" s="460">
        <v>0.58569170139633697</v>
      </c>
      <c r="AX23" s="460">
        <v>0.67844496477865901</v>
      </c>
      <c r="AY23" s="460">
        <v>-7.37322652862792E-2</v>
      </c>
      <c r="AZ23" s="460">
        <v>-0.50790939101487198</v>
      </c>
    </row>
    <row r="24" spans="1:52" x14ac:dyDescent="0.2">
      <c r="A24" s="588" t="s">
        <v>184</v>
      </c>
      <c r="B24" s="588" t="s">
        <v>231</v>
      </c>
      <c r="C24" s="588" t="s">
        <v>67</v>
      </c>
      <c r="D24" s="588">
        <v>235264.73471399999</v>
      </c>
      <c r="E24" s="588">
        <v>31.668733930027699</v>
      </c>
      <c r="F24" s="589">
        <v>1.1582909893219</v>
      </c>
      <c r="G24" s="589">
        <v>1.27639211944822</v>
      </c>
      <c r="H24" s="588">
        <v>-107.459104696369</v>
      </c>
      <c r="I24" s="588">
        <v>123544.188443295</v>
      </c>
      <c r="J24" s="588">
        <v>106567.97857925401</v>
      </c>
      <c r="K24" s="588">
        <v>96707.530121667703</v>
      </c>
      <c r="L24" s="460">
        <v>58744.372411115502</v>
      </c>
      <c r="M24" s="460">
        <v>40951.731375000003</v>
      </c>
      <c r="N24" s="460">
        <v>99696.103786115505</v>
      </c>
      <c r="O24" s="588">
        <v>7245.6908543680202</v>
      </c>
      <c r="P24" s="588">
        <v>28603.825702870101</v>
      </c>
      <c r="Q24" s="588">
        <v>761.69986561306496</v>
      </c>
      <c r="R24" s="588">
        <v>17763.4802170322</v>
      </c>
      <c r="S24" s="592">
        <v>0</v>
      </c>
      <c r="T24" s="592">
        <v>0</v>
      </c>
      <c r="U24" s="592">
        <v>4369.6757712321496</v>
      </c>
      <c r="V24" s="592">
        <v>0</v>
      </c>
      <c r="W24" s="592">
        <v>0</v>
      </c>
      <c r="X24" s="592">
        <v>0</v>
      </c>
      <c r="Y24" s="592">
        <v>0</v>
      </c>
      <c r="Z24" s="592">
        <v>0</v>
      </c>
      <c r="AA24" s="592">
        <v>40951.731375000003</v>
      </c>
      <c r="AB24" s="592">
        <v>0</v>
      </c>
      <c r="AC24" s="592">
        <v>23034.442898829198</v>
      </c>
      <c r="AD24" s="592">
        <v>0</v>
      </c>
      <c r="AE24" s="592">
        <v>-10750.3735128839</v>
      </c>
      <c r="AF24" s="592">
        <v>1633972.09266528</v>
      </c>
      <c r="AG24" s="592">
        <v>1031939.79206875</v>
      </c>
      <c r="AH24" s="592">
        <v>-205.44008614084601</v>
      </c>
      <c r="AI24" s="592">
        <v>-112.992047377465</v>
      </c>
      <c r="AJ24" s="460">
        <v>0.11972034550157599</v>
      </c>
      <c r="AK24" s="460">
        <v>0.95103245927907798</v>
      </c>
      <c r="AL24" s="460">
        <v>0.103359472365113</v>
      </c>
      <c r="AM24" s="460">
        <v>4.6383752099226003E-2</v>
      </c>
      <c r="AN24" s="460">
        <v>9.3795898358672095E-2</v>
      </c>
      <c r="AO24" s="460">
        <v>3.6820178092785198E-2</v>
      </c>
      <c r="AP24" s="460">
        <v>0.25194653008446999</v>
      </c>
      <c r="AQ24" s="460">
        <v>1.6360873136462801E-2</v>
      </c>
      <c r="AR24" s="460">
        <v>7.3336593402349701E-2</v>
      </c>
      <c r="AS24" s="460">
        <v>2.5924447142903598E-2</v>
      </c>
      <c r="AT24" s="460">
        <v>8.2900167408790595E-2</v>
      </c>
      <c r="AU24" s="460">
        <v>0.12996722779005801</v>
      </c>
      <c r="AV24" s="460">
        <v>0.58256999248019703</v>
      </c>
      <c r="AW24" s="460">
        <v>0.20593818551440499</v>
      </c>
      <c r="AX24" s="460">
        <v>0.65854095020454295</v>
      </c>
      <c r="AY24" s="460">
        <v>-0.13222618458289401</v>
      </c>
      <c r="AZ24" s="460">
        <v>-1.0503761326293699</v>
      </c>
    </row>
    <row r="25" spans="1:52" x14ac:dyDescent="0.2">
      <c r="A25" s="588" t="s">
        <v>404</v>
      </c>
      <c r="B25" s="588" t="s">
        <v>231</v>
      </c>
      <c r="C25" s="588" t="s">
        <v>61</v>
      </c>
      <c r="D25" s="588">
        <v>3273039.24</v>
      </c>
      <c r="E25" s="588">
        <v>911.59201874073096</v>
      </c>
      <c r="F25" s="589">
        <v>0.74988903226534298</v>
      </c>
      <c r="G25" s="589">
        <v>0.881333139860489</v>
      </c>
      <c r="H25" s="588">
        <v>30431.032398510299</v>
      </c>
      <c r="I25" s="588">
        <v>1703216.5778526301</v>
      </c>
      <c r="J25" s="588">
        <v>2311872.2046300098</v>
      </c>
      <c r="K25" s="588">
        <v>1967074.11969732</v>
      </c>
      <c r="L25" s="460">
        <v>1109123.10657256</v>
      </c>
      <c r="M25" s="460">
        <v>925491.49073097599</v>
      </c>
      <c r="N25" s="460">
        <v>2034614.59730354</v>
      </c>
      <c r="O25" s="588">
        <v>144144.405967839</v>
      </c>
      <c r="P25" s="588">
        <v>24903.301539848999</v>
      </c>
      <c r="Q25" s="588">
        <v>0</v>
      </c>
      <c r="R25" s="588">
        <v>931337.74073115096</v>
      </c>
      <c r="S25" s="592">
        <v>0</v>
      </c>
      <c r="T25" s="592">
        <v>0</v>
      </c>
      <c r="U25" s="592">
        <v>8737.6583337197299</v>
      </c>
      <c r="V25" s="592">
        <v>0</v>
      </c>
      <c r="W25" s="592">
        <v>0</v>
      </c>
      <c r="X25" s="592">
        <v>0</v>
      </c>
      <c r="Y25" s="592">
        <v>0</v>
      </c>
      <c r="Z25" s="592">
        <v>0</v>
      </c>
      <c r="AA25" s="592">
        <v>925491.49073097599</v>
      </c>
      <c r="AB25" s="592">
        <v>0</v>
      </c>
      <c r="AC25" s="592">
        <v>634406.72674752201</v>
      </c>
      <c r="AD25" s="592">
        <v>0</v>
      </c>
      <c r="AE25" s="592">
        <v>-169632.756793337</v>
      </c>
      <c r="AF25" s="592">
        <v>21725046.707847901</v>
      </c>
      <c r="AG25" s="592">
        <v>13935983.1939223</v>
      </c>
      <c r="AH25" s="592">
        <v>46975.990880600599</v>
      </c>
      <c r="AI25" s="592">
        <v>25836.794984330299</v>
      </c>
      <c r="AJ25" s="460">
        <v>0.122217180815447</v>
      </c>
      <c r="AK25" s="460">
        <v>1.1778176208375</v>
      </c>
      <c r="AL25" s="460">
        <v>0.162980355168339</v>
      </c>
      <c r="AM25" s="460">
        <v>8.4790359426970996E-2</v>
      </c>
      <c r="AN25" s="460">
        <v>0.13867307977865601</v>
      </c>
      <c r="AO25" s="460">
        <v>6.0483084037288699E-2</v>
      </c>
      <c r="AP25" s="460">
        <v>0.297538096416748</v>
      </c>
      <c r="AQ25" s="460">
        <v>-4.0763174352891403E-2</v>
      </c>
      <c r="AR25" s="460">
        <v>3.7426821388476299E-2</v>
      </c>
      <c r="AS25" s="460">
        <v>-1.6455898963208999E-2</v>
      </c>
      <c r="AT25" s="460">
        <v>6.1734096778158699E-2</v>
      </c>
      <c r="AU25" s="460">
        <v>-0.39283826311300901</v>
      </c>
      <c r="AV25" s="460">
        <v>0.36068553888384802</v>
      </c>
      <c r="AW25" s="460">
        <v>-0.15858693218311601</v>
      </c>
      <c r="AX25" s="460">
        <v>0.59493686981374005</v>
      </c>
      <c r="AY25" s="460">
        <v>-0.175320915601301</v>
      </c>
      <c r="AZ25" s="460">
        <v>-1.6895829401301401</v>
      </c>
    </row>
    <row r="26" spans="1:52" x14ac:dyDescent="0.2">
      <c r="A26" s="588" t="s">
        <v>405</v>
      </c>
      <c r="B26" s="588" t="s">
        <v>231</v>
      </c>
      <c r="C26" s="588" t="s">
        <v>62</v>
      </c>
      <c r="D26" s="588">
        <v>847848.17298000003</v>
      </c>
      <c r="E26" s="588">
        <v>36.638351243999999</v>
      </c>
      <c r="F26" s="589">
        <v>0.65828688718873396</v>
      </c>
      <c r="G26" s="589">
        <v>0.79970803454461004</v>
      </c>
      <c r="H26" s="588">
        <v>0</v>
      </c>
      <c r="I26" s="588">
        <v>458178.68900110997</v>
      </c>
      <c r="J26" s="588">
        <v>696016.73361260199</v>
      </c>
      <c r="K26" s="588">
        <v>572932.45685848</v>
      </c>
      <c r="L26" s="460">
        <v>414767.88723309903</v>
      </c>
      <c r="M26" s="460">
        <v>170615.75904</v>
      </c>
      <c r="N26" s="460">
        <v>585383.646273099</v>
      </c>
      <c r="O26" s="588">
        <v>61607.549718015398</v>
      </c>
      <c r="P26" s="588">
        <v>25331.499742447599</v>
      </c>
      <c r="Q26" s="588">
        <v>0</v>
      </c>
      <c r="R26" s="588">
        <v>310350.13468770799</v>
      </c>
      <c r="S26" s="592">
        <v>0</v>
      </c>
      <c r="T26" s="592">
        <v>0</v>
      </c>
      <c r="U26" s="592">
        <v>17478.703084928598</v>
      </c>
      <c r="V26" s="592">
        <v>0</v>
      </c>
      <c r="W26" s="592">
        <v>0</v>
      </c>
      <c r="X26" s="592">
        <v>0</v>
      </c>
      <c r="Y26" s="592">
        <v>0</v>
      </c>
      <c r="Z26" s="592">
        <v>0</v>
      </c>
      <c r="AA26" s="592">
        <v>170615.75904</v>
      </c>
      <c r="AB26" s="592">
        <v>0</v>
      </c>
      <c r="AC26" s="592">
        <v>360354.30288891098</v>
      </c>
      <c r="AD26" s="592">
        <v>0</v>
      </c>
      <c r="AE26" s="592">
        <v>114756.125128591</v>
      </c>
      <c r="AF26" s="592">
        <v>5902920.6768752299</v>
      </c>
      <c r="AG26" s="592">
        <v>4014125.7722206302</v>
      </c>
      <c r="AH26" s="592">
        <v>0</v>
      </c>
      <c r="AI26" s="592">
        <v>0</v>
      </c>
      <c r="AJ26" s="460">
        <v>0.114141587732973</v>
      </c>
      <c r="AK26" s="460">
        <v>0</v>
      </c>
      <c r="AL26" s="460">
        <v>0.17339185992360301</v>
      </c>
      <c r="AM26" s="460">
        <v>7.0064781807749693E-2</v>
      </c>
      <c r="AN26" s="460">
        <v>0.14272907461530099</v>
      </c>
      <c r="AO26" s="460">
        <v>3.9401996499447998E-2</v>
      </c>
      <c r="AP26" s="460">
        <v>0.30159420720799701</v>
      </c>
      <c r="AQ26" s="460">
        <v>-5.9250272190629297E-2</v>
      </c>
      <c r="AR26" s="460">
        <v>4.4076805925223603E-2</v>
      </c>
      <c r="AS26" s="460">
        <v>-2.8587486882327599E-2</v>
      </c>
      <c r="AT26" s="460">
        <v>7.4739591233525304E-2</v>
      </c>
      <c r="AU26" s="460">
        <v>0</v>
      </c>
      <c r="AV26" s="460">
        <v>0</v>
      </c>
      <c r="AW26" s="460">
        <v>0</v>
      </c>
      <c r="AX26" s="460">
        <v>0</v>
      </c>
      <c r="AY26" s="460">
        <v>-0.18745261947502301</v>
      </c>
      <c r="AZ26" s="460">
        <v>0</v>
      </c>
    </row>
    <row r="27" spans="1:52" x14ac:dyDescent="0.2">
      <c r="A27" s="588" t="s">
        <v>399</v>
      </c>
      <c r="B27" s="588" t="s">
        <v>231</v>
      </c>
      <c r="C27" s="588" t="s">
        <v>63</v>
      </c>
      <c r="D27" s="588">
        <v>258593.844234933</v>
      </c>
      <c r="E27" s="588">
        <v>240.947520315514</v>
      </c>
      <c r="F27" s="589">
        <v>0.173570804076604</v>
      </c>
      <c r="G27" s="589">
        <v>0.17870450883453801</v>
      </c>
      <c r="H27" s="588">
        <v>0</v>
      </c>
      <c r="I27" s="588">
        <v>81914.767608098497</v>
      </c>
      <c r="J27" s="588">
        <v>471938.630715487</v>
      </c>
      <c r="K27" s="588">
        <v>458381.09033915302</v>
      </c>
      <c r="L27" s="460">
        <v>409454.28809242201</v>
      </c>
      <c r="M27" s="460">
        <v>52778.466899999999</v>
      </c>
      <c r="N27" s="460">
        <v>462232.75499242201</v>
      </c>
      <c r="O27" s="588">
        <v>38267.672355538503</v>
      </c>
      <c r="P27" s="588">
        <v>19893.103915517699</v>
      </c>
      <c r="Q27" s="588">
        <v>0</v>
      </c>
      <c r="R27" s="588">
        <v>342554.16027890198</v>
      </c>
      <c r="S27" s="592">
        <v>0</v>
      </c>
      <c r="T27" s="592">
        <v>0</v>
      </c>
      <c r="U27" s="592">
        <v>8739.3515424642992</v>
      </c>
      <c r="V27" s="592">
        <v>0</v>
      </c>
      <c r="W27" s="592">
        <v>0</v>
      </c>
      <c r="X27" s="592">
        <v>0</v>
      </c>
      <c r="Y27" s="592">
        <v>0</v>
      </c>
      <c r="Z27" s="592">
        <v>0</v>
      </c>
      <c r="AA27" s="592">
        <v>52778.466899999999</v>
      </c>
      <c r="AB27" s="592">
        <v>0</v>
      </c>
      <c r="AC27" s="592">
        <v>71218.323581137898</v>
      </c>
      <c r="AD27" s="592">
        <v>0</v>
      </c>
      <c r="AE27" s="592">
        <v>11063.914448323199</v>
      </c>
      <c r="AF27" s="592">
        <v>1049981.78123229</v>
      </c>
      <c r="AG27" s="592">
        <v>682488.18283450697</v>
      </c>
      <c r="AH27" s="592">
        <v>0</v>
      </c>
      <c r="AI27" s="592">
        <v>0</v>
      </c>
      <c r="AJ27" s="460">
        <v>0.120023715675033</v>
      </c>
      <c r="AK27" s="460">
        <v>0</v>
      </c>
      <c r="AL27" s="460">
        <v>0.69149714615633895</v>
      </c>
      <c r="AM27" s="460">
        <v>9.1553735573200595E-2</v>
      </c>
      <c r="AN27" s="460">
        <v>0.67163227418152005</v>
      </c>
      <c r="AO27" s="460">
        <v>7.1688863598382099E-2</v>
      </c>
      <c r="AP27" s="460">
        <v>0.82643260864946599</v>
      </c>
      <c r="AQ27" s="460">
        <v>-0.57147343048130606</v>
      </c>
      <c r="AR27" s="460">
        <v>2.8469980101832E-2</v>
      </c>
      <c r="AS27" s="460">
        <v>-0.55160855850648804</v>
      </c>
      <c r="AT27" s="460">
        <v>4.8334852076650399E-2</v>
      </c>
      <c r="AU27" s="460">
        <v>0</v>
      </c>
      <c r="AV27" s="460">
        <v>0</v>
      </c>
      <c r="AW27" s="460">
        <v>0</v>
      </c>
      <c r="AX27" s="460">
        <v>0</v>
      </c>
      <c r="AY27" s="460">
        <v>-0.70640889297443399</v>
      </c>
      <c r="AZ27" s="460">
        <v>0</v>
      </c>
    </row>
    <row r="28" spans="1:52" x14ac:dyDescent="0.2">
      <c r="A28" s="588" t="s">
        <v>400</v>
      </c>
      <c r="B28" s="588" t="s">
        <v>231</v>
      </c>
      <c r="C28" s="588" t="s">
        <v>64</v>
      </c>
      <c r="D28" s="588">
        <v>11479.3809</v>
      </c>
      <c r="E28" s="588">
        <v>1.1199395999999999</v>
      </c>
      <c r="F28" s="589">
        <v>4.1593819234409198E-2</v>
      </c>
      <c r="G28" s="589">
        <v>4.21326795547107E-2</v>
      </c>
      <c r="H28" s="588">
        <v>0</v>
      </c>
      <c r="I28" s="588">
        <v>5375.3414296970604</v>
      </c>
      <c r="J28" s="588">
        <v>129234.139317753</v>
      </c>
      <c r="K28" s="588">
        <v>127581.28575034</v>
      </c>
      <c r="L28" s="460">
        <v>124947.78076342501</v>
      </c>
      <c r="M28" s="460">
        <v>2840.8224</v>
      </c>
      <c r="N28" s="460">
        <v>127788.603163425</v>
      </c>
      <c r="O28" s="588">
        <v>8545.2830956871403</v>
      </c>
      <c r="P28" s="588">
        <v>22665.710498504199</v>
      </c>
      <c r="Q28" s="588">
        <v>1925.37627199944</v>
      </c>
      <c r="R28" s="588">
        <v>76080.578120798396</v>
      </c>
      <c r="S28" s="592">
        <v>0</v>
      </c>
      <c r="T28" s="592">
        <v>0</v>
      </c>
      <c r="U28" s="592">
        <v>15730.8327764357</v>
      </c>
      <c r="V28" s="592">
        <v>0</v>
      </c>
      <c r="W28" s="592">
        <v>0</v>
      </c>
      <c r="X28" s="592">
        <v>0</v>
      </c>
      <c r="Y28" s="592">
        <v>0</v>
      </c>
      <c r="Z28" s="592">
        <v>0</v>
      </c>
      <c r="AA28" s="592">
        <v>2840.8224</v>
      </c>
      <c r="AB28" s="592">
        <v>0</v>
      </c>
      <c r="AC28" s="592">
        <v>5365.3301520000005</v>
      </c>
      <c r="AD28" s="592">
        <v>0</v>
      </c>
      <c r="AE28" s="592">
        <v>1514.7046511999999</v>
      </c>
      <c r="AF28" s="592">
        <v>87918.957127872403</v>
      </c>
      <c r="AG28" s="592">
        <v>57147.322133117101</v>
      </c>
      <c r="AH28" s="592">
        <v>0</v>
      </c>
      <c r="AI28" s="592">
        <v>0</v>
      </c>
      <c r="AJ28" s="460">
        <v>9.4061125334550494E-2</v>
      </c>
      <c r="AK28" s="460">
        <v>0</v>
      </c>
      <c r="AL28" s="460">
        <v>2.2614207366833199</v>
      </c>
      <c r="AM28" s="460">
        <v>7.5005413977984201E-2</v>
      </c>
      <c r="AN28" s="460">
        <v>2.2324980591943802</v>
      </c>
      <c r="AO28" s="460">
        <v>4.60827364890464E-2</v>
      </c>
      <c r="AP28" s="460">
        <v>2.3911704182889002</v>
      </c>
      <c r="AQ28" s="460">
        <v>-2.1673596113487701</v>
      </c>
      <c r="AR28" s="460">
        <v>1.90557113565663E-2</v>
      </c>
      <c r="AS28" s="460">
        <v>-2.1384369338598299</v>
      </c>
      <c r="AT28" s="460">
        <v>4.7978388845504101E-2</v>
      </c>
      <c r="AU28" s="460">
        <v>0</v>
      </c>
      <c r="AV28" s="460">
        <v>0</v>
      </c>
      <c r="AW28" s="460">
        <v>0</v>
      </c>
      <c r="AX28" s="460">
        <v>0</v>
      </c>
      <c r="AY28" s="460">
        <v>-2.29710929295435</v>
      </c>
      <c r="AZ28" s="460">
        <v>0</v>
      </c>
    </row>
    <row r="29" spans="1:52" x14ac:dyDescent="0.2">
      <c r="A29" s="588" t="s">
        <v>401</v>
      </c>
      <c r="B29" s="588" t="s">
        <v>231</v>
      </c>
      <c r="C29" s="588" t="s">
        <v>65</v>
      </c>
      <c r="D29" s="588">
        <v>258992.699382772</v>
      </c>
      <c r="E29" s="588">
        <v>73.775337209400007</v>
      </c>
      <c r="F29" s="589">
        <v>0.587595402023665</v>
      </c>
      <c r="G29" s="589">
        <v>0.595881880785609</v>
      </c>
      <c r="H29" s="588">
        <v>0</v>
      </c>
      <c r="I29" s="588">
        <v>195882.444918625</v>
      </c>
      <c r="J29" s="588">
        <v>333362.793929309</v>
      </c>
      <c r="K29" s="588">
        <v>328726.96961413499</v>
      </c>
      <c r="L29" s="460">
        <v>259586.082631695</v>
      </c>
      <c r="M29" s="460">
        <v>74583.865028358399</v>
      </c>
      <c r="N29" s="460">
        <v>334169.94766005402</v>
      </c>
      <c r="O29" s="588">
        <v>20577.3031508973</v>
      </c>
      <c r="P29" s="588">
        <v>25388.159374461698</v>
      </c>
      <c r="Q29" s="588">
        <v>544.72389190019805</v>
      </c>
      <c r="R29" s="588">
        <v>199966.86890074</v>
      </c>
      <c r="S29" s="592">
        <v>0</v>
      </c>
      <c r="T29" s="592">
        <v>0</v>
      </c>
      <c r="U29" s="592">
        <v>13109.027313696501</v>
      </c>
      <c r="V29" s="592">
        <v>0</v>
      </c>
      <c r="W29" s="592">
        <v>0</v>
      </c>
      <c r="X29" s="592">
        <v>0</v>
      </c>
      <c r="Y29" s="592">
        <v>0</v>
      </c>
      <c r="Z29" s="592">
        <v>0</v>
      </c>
      <c r="AA29" s="592">
        <v>74583.865028358399</v>
      </c>
      <c r="AB29" s="592">
        <v>0</v>
      </c>
      <c r="AC29" s="592">
        <v>76540.137447449495</v>
      </c>
      <c r="AD29" s="592">
        <v>0</v>
      </c>
      <c r="AE29" s="592">
        <v>1173.76344036509</v>
      </c>
      <c r="AF29" s="592">
        <v>2093259.79152558</v>
      </c>
      <c r="AG29" s="592">
        <v>1360618.89447955</v>
      </c>
      <c r="AH29" s="592">
        <v>0</v>
      </c>
      <c r="AI29" s="592">
        <v>0</v>
      </c>
      <c r="AJ29" s="460">
        <v>0.14396569510638099</v>
      </c>
      <c r="AK29" s="460">
        <v>0</v>
      </c>
      <c r="AL29" s="460">
        <v>0.245008205664249</v>
      </c>
      <c r="AM29" s="460">
        <v>5.4222906647077102E-2</v>
      </c>
      <c r="AN29" s="460">
        <v>0.24160106180200899</v>
      </c>
      <c r="AO29" s="460">
        <v>5.08157627848368E-2</v>
      </c>
      <c r="AP29" s="460">
        <v>0.40335398486133101</v>
      </c>
      <c r="AQ29" s="460">
        <v>-0.101042510557868</v>
      </c>
      <c r="AR29" s="460">
        <v>8.9742788459304099E-2</v>
      </c>
      <c r="AS29" s="460">
        <v>-9.7635366695627598E-2</v>
      </c>
      <c r="AT29" s="460">
        <v>9.3149932321544296E-2</v>
      </c>
      <c r="AU29" s="460">
        <v>0</v>
      </c>
      <c r="AV29" s="460">
        <v>0</v>
      </c>
      <c r="AW29" s="460">
        <v>0</v>
      </c>
      <c r="AX29" s="460">
        <v>0</v>
      </c>
      <c r="AY29" s="460">
        <v>-0.25938828975494999</v>
      </c>
      <c r="AZ29" s="460">
        <v>0</v>
      </c>
    </row>
    <row r="30" spans="1:52" x14ac:dyDescent="0.2">
      <c r="A30" s="588" t="s">
        <v>406</v>
      </c>
      <c r="B30" s="588" t="s">
        <v>231</v>
      </c>
      <c r="C30" s="588" t="s">
        <v>66</v>
      </c>
      <c r="D30" s="588">
        <v>815613.11343369598</v>
      </c>
      <c r="E30" s="588">
        <v>183.472041507027</v>
      </c>
      <c r="F30" s="589">
        <v>0.51967977692707701</v>
      </c>
      <c r="G30" s="589">
        <v>0.58046506517382201</v>
      </c>
      <c r="H30" s="588">
        <v>0</v>
      </c>
      <c r="I30" s="588">
        <v>333101.13509898802</v>
      </c>
      <c r="J30" s="588">
        <v>640973.82636024605</v>
      </c>
      <c r="K30" s="588">
        <v>573852.16627849895</v>
      </c>
      <c r="L30" s="460">
        <v>422764.34268337802</v>
      </c>
      <c r="M30" s="460">
        <v>162981.910332</v>
      </c>
      <c r="N30" s="460">
        <v>585746.25301537802</v>
      </c>
      <c r="O30" s="588">
        <v>39111.612588935699</v>
      </c>
      <c r="P30" s="588">
        <v>43736.591682774597</v>
      </c>
      <c r="Q30" s="588">
        <v>0</v>
      </c>
      <c r="R30" s="588">
        <v>339916.13841166702</v>
      </c>
      <c r="S30" s="592">
        <v>0</v>
      </c>
      <c r="T30" s="592">
        <v>0</v>
      </c>
      <c r="U30" s="592">
        <v>0</v>
      </c>
      <c r="V30" s="592">
        <v>0</v>
      </c>
      <c r="W30" s="592">
        <v>0</v>
      </c>
      <c r="X30" s="592">
        <v>0</v>
      </c>
      <c r="Y30" s="592">
        <v>0</v>
      </c>
      <c r="Z30" s="592">
        <v>0</v>
      </c>
      <c r="AA30" s="592">
        <v>162981.910332</v>
      </c>
      <c r="AB30" s="592">
        <v>0</v>
      </c>
      <c r="AC30" s="592">
        <v>254920.62126866399</v>
      </c>
      <c r="AD30" s="592">
        <v>0</v>
      </c>
      <c r="AE30" s="592">
        <v>59659.647464929003</v>
      </c>
      <c r="AF30" s="592">
        <v>3360950.51854649</v>
      </c>
      <c r="AG30" s="592">
        <v>2287334.0814923998</v>
      </c>
      <c r="AH30" s="592">
        <v>0</v>
      </c>
      <c r="AI30" s="592">
        <v>0</v>
      </c>
      <c r="AJ30" s="460">
        <v>0.14562854538575001</v>
      </c>
      <c r="AK30" s="460">
        <v>0</v>
      </c>
      <c r="AL30" s="460">
        <v>0.28022746285581301</v>
      </c>
      <c r="AM30" s="460">
        <v>9.5399043560132096E-2</v>
      </c>
      <c r="AN30" s="460">
        <v>0.25088253216779</v>
      </c>
      <c r="AO30" s="460">
        <v>6.60541128721093E-2</v>
      </c>
      <c r="AP30" s="460">
        <v>0.40334462480037198</v>
      </c>
      <c r="AQ30" s="460">
        <v>-0.134598917470063</v>
      </c>
      <c r="AR30" s="460">
        <v>5.0229501825617598E-2</v>
      </c>
      <c r="AS30" s="460">
        <v>-0.10525398678204</v>
      </c>
      <c r="AT30" s="460">
        <v>7.9574432513640395E-2</v>
      </c>
      <c r="AU30" s="460">
        <v>0</v>
      </c>
      <c r="AV30" s="460">
        <v>0</v>
      </c>
      <c r="AW30" s="460">
        <v>0</v>
      </c>
      <c r="AX30" s="460">
        <v>0</v>
      </c>
      <c r="AY30" s="460">
        <v>-0.25771607941462199</v>
      </c>
      <c r="AZ30" s="460">
        <v>0</v>
      </c>
    </row>
    <row r="31" spans="1:52" x14ac:dyDescent="0.2">
      <c r="A31" s="588" t="s">
        <v>407</v>
      </c>
      <c r="B31" s="588" t="s">
        <v>231</v>
      </c>
      <c r="C31" s="588" t="s">
        <v>200</v>
      </c>
      <c r="D31" s="588">
        <v>5427425.8650000002</v>
      </c>
      <c r="E31" s="588">
        <v>696.04158613873096</v>
      </c>
      <c r="F31" s="589">
        <v>1.3896192921596999</v>
      </c>
      <c r="G31" s="589">
        <v>1.65700656951061</v>
      </c>
      <c r="H31" s="588">
        <v>0</v>
      </c>
      <c r="I31" s="588">
        <v>4133838.5252843802</v>
      </c>
      <c r="J31" s="588">
        <v>2974799.31993439</v>
      </c>
      <c r="K31" s="588">
        <v>2494762.9064049502</v>
      </c>
      <c r="L31" s="460">
        <v>1234946.3495510099</v>
      </c>
      <c r="M31" s="460">
        <v>1358993.09565915</v>
      </c>
      <c r="N31" s="460">
        <v>2593939.4452101602</v>
      </c>
      <c r="O31" s="588">
        <v>143609.504082183</v>
      </c>
      <c r="P31" s="588">
        <v>0</v>
      </c>
      <c r="Q31" s="588">
        <v>57098.940450754497</v>
      </c>
      <c r="R31" s="588">
        <v>1034237.90501808</v>
      </c>
      <c r="S31" s="592">
        <v>0</v>
      </c>
      <c r="T31" s="592">
        <v>0</v>
      </c>
      <c r="U31" s="592">
        <v>0</v>
      </c>
      <c r="V31" s="592">
        <v>0</v>
      </c>
      <c r="W31" s="592">
        <v>0</v>
      </c>
      <c r="X31" s="592">
        <v>0</v>
      </c>
      <c r="Y31" s="592">
        <v>0</v>
      </c>
      <c r="Z31" s="592">
        <v>0</v>
      </c>
      <c r="AA31" s="592">
        <v>1358993.09565915</v>
      </c>
      <c r="AB31" s="592">
        <v>0</v>
      </c>
      <c r="AC31" s="592">
        <v>2053585.42085328</v>
      </c>
      <c r="AD31" s="592">
        <v>0</v>
      </c>
      <c r="AE31" s="592">
        <v>415147.04906905699</v>
      </c>
      <c r="AF31" s="592">
        <v>41961782.613382898</v>
      </c>
      <c r="AG31" s="592">
        <v>26644358.236700099</v>
      </c>
      <c r="AH31" s="592">
        <v>0</v>
      </c>
      <c r="AI31" s="592">
        <v>0</v>
      </c>
      <c r="AJ31" s="460">
        <v>0.15514873687557601</v>
      </c>
      <c r="AK31" s="460">
        <v>0</v>
      </c>
      <c r="AL31" s="460">
        <v>0.11164837574646</v>
      </c>
      <c r="AM31" s="460">
        <v>6.5299113415570806E-2</v>
      </c>
      <c r="AN31" s="460">
        <v>9.3631938297866202E-2</v>
      </c>
      <c r="AO31" s="460">
        <v>4.7282675966976599E-2</v>
      </c>
      <c r="AP31" s="460">
        <v>0.258343850154095</v>
      </c>
      <c r="AQ31" s="460">
        <v>4.3500361129115601E-2</v>
      </c>
      <c r="AR31" s="460">
        <v>8.9849623460005204E-2</v>
      </c>
      <c r="AS31" s="460">
        <v>6.1516798577709801E-2</v>
      </c>
      <c r="AT31" s="460">
        <v>0.107866060908599</v>
      </c>
      <c r="AU31" s="460">
        <v>0</v>
      </c>
      <c r="AV31" s="460">
        <v>0</v>
      </c>
      <c r="AW31" s="460">
        <v>0</v>
      </c>
      <c r="AX31" s="460">
        <v>0</v>
      </c>
      <c r="AY31" s="460">
        <v>-0.103195113278519</v>
      </c>
      <c r="AZ31" s="460">
        <v>0</v>
      </c>
    </row>
    <row r="32" spans="1:52" x14ac:dyDescent="0.2">
      <c r="A32" s="588" t="s">
        <v>542</v>
      </c>
      <c r="B32" s="588" t="s">
        <v>543</v>
      </c>
      <c r="C32" s="588" t="s">
        <v>544</v>
      </c>
      <c r="D32" s="588">
        <v>0</v>
      </c>
      <c r="E32" s="588">
        <v>0</v>
      </c>
      <c r="F32" s="589">
        <v>0</v>
      </c>
      <c r="G32" s="589">
        <v>0</v>
      </c>
      <c r="H32" s="588">
        <v>0</v>
      </c>
      <c r="I32" s="588">
        <v>0</v>
      </c>
      <c r="J32" s="588">
        <v>18490560</v>
      </c>
      <c r="K32" s="588">
        <v>18490560</v>
      </c>
      <c r="L32" s="460">
        <v>18490560</v>
      </c>
      <c r="M32" s="460">
        <v>0</v>
      </c>
      <c r="N32" s="460">
        <v>18490560</v>
      </c>
      <c r="O32" s="588">
        <v>0</v>
      </c>
      <c r="P32" s="588">
        <v>0</v>
      </c>
      <c r="Q32" s="588">
        <v>0</v>
      </c>
      <c r="R32" s="588">
        <v>18490560</v>
      </c>
      <c r="S32" s="592">
        <v>0</v>
      </c>
      <c r="T32" s="592">
        <v>0</v>
      </c>
      <c r="U32" s="592">
        <v>0</v>
      </c>
      <c r="V32" s="592">
        <v>0</v>
      </c>
      <c r="W32" s="592">
        <v>0</v>
      </c>
      <c r="X32" s="592">
        <v>0</v>
      </c>
      <c r="Y32" s="592">
        <v>0</v>
      </c>
      <c r="Z32" s="592">
        <v>0</v>
      </c>
      <c r="AA32" s="592">
        <v>0</v>
      </c>
      <c r="AB32" s="592">
        <v>0</v>
      </c>
      <c r="AC32" s="592">
        <v>0</v>
      </c>
      <c r="AD32" s="592">
        <v>0</v>
      </c>
      <c r="AE32" s="592">
        <v>0</v>
      </c>
      <c r="AF32" s="592">
        <v>0</v>
      </c>
      <c r="AG32" s="592">
        <v>0</v>
      </c>
      <c r="AH32" s="592">
        <v>0</v>
      </c>
      <c r="AI32" s="592">
        <v>0</v>
      </c>
      <c r="AJ32" s="460">
        <v>0</v>
      </c>
      <c r="AK32" s="460">
        <v>0</v>
      </c>
      <c r="AL32" s="460">
        <v>0</v>
      </c>
      <c r="AM32" s="460">
        <v>0</v>
      </c>
      <c r="AN32" s="460">
        <v>0</v>
      </c>
      <c r="AO32" s="460">
        <v>0</v>
      </c>
      <c r="AP32" s="460">
        <v>0</v>
      </c>
      <c r="AQ32" s="460">
        <v>0</v>
      </c>
      <c r="AR32" s="460">
        <v>0</v>
      </c>
      <c r="AS32" s="460">
        <v>0</v>
      </c>
      <c r="AT32" s="460">
        <v>0</v>
      </c>
      <c r="AU32" s="460">
        <v>0</v>
      </c>
      <c r="AV32" s="460">
        <v>0</v>
      </c>
      <c r="AW32" s="460">
        <v>0</v>
      </c>
      <c r="AX32" s="460">
        <v>0</v>
      </c>
      <c r="AY32" s="460">
        <v>0</v>
      </c>
      <c r="AZ32" s="460">
        <v>0</v>
      </c>
    </row>
    <row r="33" spans="1:52" x14ac:dyDescent="0.2">
      <c r="A33" s="588" t="s">
        <v>275</v>
      </c>
      <c r="B33" s="588" t="s">
        <v>228</v>
      </c>
      <c r="C33" s="588" t="s">
        <v>1</v>
      </c>
      <c r="D33" s="588">
        <v>70165371.599999994</v>
      </c>
      <c r="E33" s="588">
        <v>30677.52</v>
      </c>
      <c r="F33" s="589">
        <v>0.74890671555142996</v>
      </c>
      <c r="G33" s="589">
        <v>0.75241033043647398</v>
      </c>
      <c r="H33" s="588">
        <v>0</v>
      </c>
      <c r="I33" s="588">
        <v>7831835.8084604098</v>
      </c>
      <c r="J33" s="588">
        <v>10457692.0540681</v>
      </c>
      <c r="K33" s="588">
        <v>10408995.5861148</v>
      </c>
      <c r="L33" s="460">
        <v>9435066.2270485293</v>
      </c>
      <c r="M33" s="460">
        <v>1050600</v>
      </c>
      <c r="N33" s="460">
        <v>10485666.2270485</v>
      </c>
      <c r="O33" s="588">
        <v>382677.00914842001</v>
      </c>
      <c r="P33" s="588">
        <v>45941.653659770898</v>
      </c>
      <c r="Q33" s="588">
        <v>853451.68496877805</v>
      </c>
      <c r="R33" s="588">
        <v>8152995.8792715603</v>
      </c>
      <c r="S33" s="592">
        <v>0</v>
      </c>
      <c r="T33" s="592">
        <v>0</v>
      </c>
      <c r="U33" s="592">
        <v>0</v>
      </c>
      <c r="V33" s="592">
        <v>0</v>
      </c>
      <c r="W33" s="592">
        <v>0</v>
      </c>
      <c r="X33" s="592">
        <v>0</v>
      </c>
      <c r="Y33" s="592">
        <v>1050600</v>
      </c>
      <c r="Z33" s="592">
        <v>0</v>
      </c>
      <c r="AA33" s="592">
        <v>0</v>
      </c>
      <c r="AB33" s="592">
        <v>0</v>
      </c>
      <c r="AC33" s="592">
        <v>525300</v>
      </c>
      <c r="AD33" s="592">
        <v>525300</v>
      </c>
      <c r="AE33" s="592">
        <v>0</v>
      </c>
      <c r="AF33" s="592">
        <v>83525898.440749705</v>
      </c>
      <c r="AG33" s="592">
        <v>74744459.825651094</v>
      </c>
      <c r="AH33" s="592">
        <v>0</v>
      </c>
      <c r="AI33" s="592">
        <v>0</v>
      </c>
      <c r="AJ33" s="460">
        <v>0.10478148917965199</v>
      </c>
      <c r="AK33" s="460">
        <v>0</v>
      </c>
      <c r="AL33" s="460">
        <v>0.13991260460590199</v>
      </c>
      <c r="AM33" s="460">
        <v>1.36816270985825E-2</v>
      </c>
      <c r="AN33" s="460">
        <v>0.13926109855358901</v>
      </c>
      <c r="AO33" s="460">
        <v>1.30301210462691E-2</v>
      </c>
      <c r="AP33" s="460">
        <v>0.28614035054262399</v>
      </c>
      <c r="AQ33" s="460">
        <v>-3.5131115426250102E-2</v>
      </c>
      <c r="AR33" s="460">
        <v>9.1099862081069599E-2</v>
      </c>
      <c r="AS33" s="460">
        <v>-3.4479609373936598E-2</v>
      </c>
      <c r="AT33" s="460">
        <v>9.1751368133383096E-2</v>
      </c>
      <c r="AU33" s="460">
        <v>0</v>
      </c>
      <c r="AV33" s="460">
        <v>0</v>
      </c>
      <c r="AW33" s="460">
        <v>0</v>
      </c>
      <c r="AX33" s="460">
        <v>0</v>
      </c>
      <c r="AY33" s="460">
        <v>-0.181358861362972</v>
      </c>
      <c r="AZ33" s="460">
        <v>0</v>
      </c>
    </row>
    <row r="34" spans="1:52" x14ac:dyDescent="0.2">
      <c r="A34" s="588" t="s">
        <v>279</v>
      </c>
      <c r="B34" s="588" t="s">
        <v>228</v>
      </c>
      <c r="C34" s="588" t="s">
        <v>3</v>
      </c>
      <c r="D34" s="588">
        <v>20665926.025262602</v>
      </c>
      <c r="E34" s="588">
        <v>9073.8817808369604</v>
      </c>
      <c r="F34" s="589">
        <v>0.74422697792449199</v>
      </c>
      <c r="G34" s="589">
        <v>1.0985654879148301</v>
      </c>
      <c r="H34" s="588">
        <v>-76417.414267372893</v>
      </c>
      <c r="I34" s="588">
        <v>7422539.5896399301</v>
      </c>
      <c r="J34" s="588">
        <v>9870808.76301945</v>
      </c>
      <c r="K34" s="588">
        <v>6687013.4335970301</v>
      </c>
      <c r="L34" s="460">
        <v>2326049.9425061801</v>
      </c>
      <c r="M34" s="460">
        <v>4704271.62</v>
      </c>
      <c r="N34" s="460">
        <v>7030321.5625061803</v>
      </c>
      <c r="O34" s="588">
        <v>247811.59667955199</v>
      </c>
      <c r="P34" s="588">
        <v>73418.783921455106</v>
      </c>
      <c r="Q34" s="588">
        <v>743162.60064086202</v>
      </c>
      <c r="R34" s="588">
        <v>736356.96126430796</v>
      </c>
      <c r="S34" s="592">
        <v>0</v>
      </c>
      <c r="T34" s="592">
        <v>0</v>
      </c>
      <c r="U34" s="592">
        <v>525300</v>
      </c>
      <c r="V34" s="592">
        <v>0</v>
      </c>
      <c r="W34" s="592">
        <v>0</v>
      </c>
      <c r="X34" s="592">
        <v>0</v>
      </c>
      <c r="Y34" s="592">
        <v>0</v>
      </c>
      <c r="Z34" s="592">
        <v>0</v>
      </c>
      <c r="AA34" s="592">
        <v>3758731.62</v>
      </c>
      <c r="AB34" s="592">
        <v>945540</v>
      </c>
      <c r="AC34" s="592">
        <v>6254258.0772179998</v>
      </c>
      <c r="AD34" s="592">
        <v>945540</v>
      </c>
      <c r="AE34" s="592">
        <v>1507911.8483951399</v>
      </c>
      <c r="AF34" s="592">
        <v>109119277.763752</v>
      </c>
      <c r="AG34" s="592">
        <v>64847453.308448099</v>
      </c>
      <c r="AH34" s="592">
        <v>-91876.152082250104</v>
      </c>
      <c r="AI34" s="592">
        <v>-67014.848878046905</v>
      </c>
      <c r="AJ34" s="460">
        <v>0.114461543375258</v>
      </c>
      <c r="AK34" s="460">
        <v>1.14030570159811</v>
      </c>
      <c r="AL34" s="460">
        <v>0.15379923970838699</v>
      </c>
      <c r="AM34" s="460">
        <v>0.117556544578738</v>
      </c>
      <c r="AN34" s="460">
        <v>0.10419182527981601</v>
      </c>
      <c r="AO34" s="460">
        <v>6.7949130150166098E-2</v>
      </c>
      <c r="AP34" s="460">
        <v>0.25973201189656803</v>
      </c>
      <c r="AQ34" s="460">
        <v>-3.9337696333129703E-2</v>
      </c>
      <c r="AR34" s="460">
        <v>-3.0950012034800202E-3</v>
      </c>
      <c r="AS34" s="460">
        <v>1.02697180954419E-2</v>
      </c>
      <c r="AT34" s="460">
        <v>4.6512413225091601E-2</v>
      </c>
      <c r="AU34" s="460">
        <v>-0.39189581141100499</v>
      </c>
      <c r="AV34" s="460">
        <v>-3.0833478343118399E-2</v>
      </c>
      <c r="AW34" s="460">
        <v>0.102310503184858</v>
      </c>
      <c r="AX34" s="460">
        <v>0.463372836252745</v>
      </c>
      <c r="AY34" s="460">
        <v>-0.14527046852131001</v>
      </c>
      <c r="AZ34" s="460">
        <v>-1.4472349283775801</v>
      </c>
    </row>
    <row r="35" spans="1:52" x14ac:dyDescent="0.2">
      <c r="A35" s="588" t="s">
        <v>282</v>
      </c>
      <c r="B35" s="588" t="s">
        <v>228</v>
      </c>
      <c r="C35" s="588" t="s">
        <v>2</v>
      </c>
      <c r="D35" s="588">
        <v>5479109.9507376896</v>
      </c>
      <c r="E35" s="588">
        <v>991.26810204381604</v>
      </c>
      <c r="F35" s="589">
        <v>0.66326203347940105</v>
      </c>
      <c r="G35" s="589">
        <v>0.64744222188900502</v>
      </c>
      <c r="H35" s="588">
        <v>-32758.863252926301</v>
      </c>
      <c r="I35" s="588">
        <v>2022400.7105038499</v>
      </c>
      <c r="J35" s="588">
        <v>2999782.5095060398</v>
      </c>
      <c r="K35" s="588">
        <v>3073080.1606448502</v>
      </c>
      <c r="L35" s="460">
        <v>1912083.1747002599</v>
      </c>
      <c r="M35" s="460">
        <v>1252394.1516690999</v>
      </c>
      <c r="N35" s="460">
        <v>3164477.3263693601</v>
      </c>
      <c r="O35" s="588">
        <v>329469.43199591403</v>
      </c>
      <c r="P35" s="588">
        <v>70444.995380035602</v>
      </c>
      <c r="Q35" s="588">
        <v>132967.49480424699</v>
      </c>
      <c r="R35" s="588">
        <v>681769.49597875797</v>
      </c>
      <c r="S35" s="592">
        <v>0</v>
      </c>
      <c r="T35" s="592">
        <v>0</v>
      </c>
      <c r="U35" s="592">
        <v>697431.75654130406</v>
      </c>
      <c r="V35" s="592">
        <v>0</v>
      </c>
      <c r="W35" s="592">
        <v>0</v>
      </c>
      <c r="X35" s="592">
        <v>0</v>
      </c>
      <c r="Y35" s="592">
        <v>61102.349923899899</v>
      </c>
      <c r="Z35" s="592">
        <v>132891.96792911799</v>
      </c>
      <c r="AA35" s="592">
        <v>1058399.8338160799</v>
      </c>
      <c r="AB35" s="592">
        <v>0</v>
      </c>
      <c r="AC35" s="592">
        <v>818142.18599852896</v>
      </c>
      <c r="AD35" s="592">
        <v>0</v>
      </c>
      <c r="AE35" s="592">
        <v>-227302.72917136701</v>
      </c>
      <c r="AF35" s="592">
        <v>27375561.025193401</v>
      </c>
      <c r="AG35" s="592">
        <v>17483034.668258701</v>
      </c>
      <c r="AH35" s="592">
        <v>-47005.409354532399</v>
      </c>
      <c r="AI35" s="592">
        <v>-30525.870305988599</v>
      </c>
      <c r="AJ35" s="460">
        <v>0.115677898538725</v>
      </c>
      <c r="AK35" s="460">
        <v>1.0731508364726201</v>
      </c>
      <c r="AL35" s="460">
        <v>0.17440753834784001</v>
      </c>
      <c r="AM35" s="460">
        <v>6.3238905768971204E-2</v>
      </c>
      <c r="AN35" s="460">
        <v>0.17866906826252099</v>
      </c>
      <c r="AO35" s="460">
        <v>6.7500435683652105E-2</v>
      </c>
      <c r="AP35" s="460">
        <v>0.33312884333249398</v>
      </c>
      <c r="AQ35" s="460">
        <v>-5.8729639809115101E-2</v>
      </c>
      <c r="AR35" s="460">
        <v>5.2438992769753799E-2</v>
      </c>
      <c r="AS35" s="460">
        <v>-6.2991169723796203E-2</v>
      </c>
      <c r="AT35" s="460">
        <v>4.8177462855073003E-2</v>
      </c>
      <c r="AU35" s="460">
        <v>-0.54483840805414696</v>
      </c>
      <c r="AV35" s="460">
        <v>0.48647969634237098</v>
      </c>
      <c r="AW35" s="460">
        <v>-0.58437287790849102</v>
      </c>
      <c r="AX35" s="460">
        <v>0.44694522648802898</v>
      </c>
      <c r="AY35" s="460">
        <v>-0.217450944793769</v>
      </c>
      <c r="AZ35" s="460">
        <v>-2.0173055202854902</v>
      </c>
    </row>
    <row r="36" spans="1:52" x14ac:dyDescent="0.2">
      <c r="A36" s="588" t="s">
        <v>285</v>
      </c>
      <c r="B36" s="588" t="s">
        <v>228</v>
      </c>
      <c r="C36" s="588" t="s">
        <v>8</v>
      </c>
      <c r="D36" s="588">
        <v>392348.461416192</v>
      </c>
      <c r="E36" s="588">
        <v>489.40948684799997</v>
      </c>
      <c r="F36" s="589">
        <v>0.113822032729243</v>
      </c>
      <c r="G36" s="589">
        <v>0.16623971123449499</v>
      </c>
      <c r="H36" s="588">
        <v>102910.275258044</v>
      </c>
      <c r="I36" s="588">
        <v>521503.076297694</v>
      </c>
      <c r="J36" s="588">
        <v>5485874.1895874999</v>
      </c>
      <c r="K36" s="588">
        <v>3756102.23886248</v>
      </c>
      <c r="L36" s="460">
        <v>2566271.0507632098</v>
      </c>
      <c r="M36" s="460">
        <v>1283498.2687200001</v>
      </c>
      <c r="N36" s="460">
        <v>3849769.3194832201</v>
      </c>
      <c r="O36" s="588">
        <v>220658.46823921299</v>
      </c>
      <c r="P36" s="588">
        <v>45366.326956161</v>
      </c>
      <c r="Q36" s="588">
        <v>51781.144348836599</v>
      </c>
      <c r="R36" s="588">
        <v>2232933.4785770299</v>
      </c>
      <c r="S36" s="592">
        <v>0</v>
      </c>
      <c r="T36" s="592">
        <v>0</v>
      </c>
      <c r="U36" s="592">
        <v>15531.6326419739</v>
      </c>
      <c r="V36" s="592">
        <v>0</v>
      </c>
      <c r="W36" s="592">
        <v>0</v>
      </c>
      <c r="X36" s="592">
        <v>0</v>
      </c>
      <c r="Y36" s="592">
        <v>0</v>
      </c>
      <c r="Z36" s="592">
        <v>0</v>
      </c>
      <c r="AA36" s="592">
        <v>1283498.2687200001</v>
      </c>
      <c r="AB36" s="592">
        <v>0</v>
      </c>
      <c r="AC36" s="592">
        <v>4286448</v>
      </c>
      <c r="AD36" s="592">
        <v>0</v>
      </c>
      <c r="AE36" s="592">
        <v>1651622.38800195</v>
      </c>
      <c r="AF36" s="592">
        <v>2965155.5255502998</v>
      </c>
      <c r="AG36" s="592">
        <v>1779093.3506775899</v>
      </c>
      <c r="AH36" s="592">
        <v>152707.27161739199</v>
      </c>
      <c r="AI36" s="592">
        <v>91624.364790848005</v>
      </c>
      <c r="AJ36" s="460">
        <v>0.29312856242145702</v>
      </c>
      <c r="AK36" s="460">
        <v>1.1231758658622999</v>
      </c>
      <c r="AL36" s="460">
        <v>2.5753235590049899</v>
      </c>
      <c r="AM36" s="460">
        <v>1.37059700724279</v>
      </c>
      <c r="AN36" s="460">
        <v>1.76328844801694</v>
      </c>
      <c r="AO36" s="460">
        <v>0.55856189625473995</v>
      </c>
      <c r="AP36" s="460">
        <v>1.9565232433983699</v>
      </c>
      <c r="AQ36" s="460">
        <v>-2.2821949965835402</v>
      </c>
      <c r="AR36" s="460">
        <v>-1.0774684448213401</v>
      </c>
      <c r="AS36" s="460">
        <v>-1.4701598855954801</v>
      </c>
      <c r="AT36" s="460">
        <v>-0.26543333383328299</v>
      </c>
      <c r="AU36" s="460">
        <v>-8.7446488331929402</v>
      </c>
      <c r="AV36" s="460">
        <v>-4.1285180244957296</v>
      </c>
      <c r="AW36" s="460">
        <v>-5.6331873251081497</v>
      </c>
      <c r="AX36" s="460">
        <v>-1.01705651641094</v>
      </c>
      <c r="AY36" s="460">
        <v>-1.66339468097691</v>
      </c>
      <c r="AZ36" s="460">
        <v>-6.3736018955081803</v>
      </c>
    </row>
    <row r="37" spans="1:52" x14ac:dyDescent="0.2">
      <c r="A37" s="588" t="s">
        <v>290</v>
      </c>
      <c r="B37" s="588" t="s">
        <v>228</v>
      </c>
      <c r="C37" s="588" t="s">
        <v>7</v>
      </c>
      <c r="D37" s="588">
        <v>0</v>
      </c>
      <c r="E37" s="588">
        <v>0</v>
      </c>
      <c r="F37" s="589">
        <v>0</v>
      </c>
      <c r="G37" s="589">
        <v>0</v>
      </c>
      <c r="H37" s="588">
        <v>0</v>
      </c>
      <c r="I37" s="588">
        <v>0</v>
      </c>
      <c r="J37" s="588">
        <v>295689.20156160003</v>
      </c>
      <c r="K37" s="588">
        <v>295689.20156160003</v>
      </c>
      <c r="L37" s="460">
        <v>295689.20156160003</v>
      </c>
      <c r="M37" s="460">
        <v>0</v>
      </c>
      <c r="N37" s="460">
        <v>295689.20156160003</v>
      </c>
      <c r="O37" s="588">
        <v>0</v>
      </c>
      <c r="P37" s="588">
        <v>295689.20156160003</v>
      </c>
      <c r="Q37" s="588">
        <v>0</v>
      </c>
      <c r="R37" s="588">
        <v>0</v>
      </c>
      <c r="S37" s="592">
        <v>0</v>
      </c>
      <c r="T37" s="592">
        <v>0</v>
      </c>
      <c r="U37" s="592">
        <v>0</v>
      </c>
      <c r="V37" s="592">
        <v>0</v>
      </c>
      <c r="W37" s="592">
        <v>0</v>
      </c>
      <c r="X37" s="592">
        <v>0</v>
      </c>
      <c r="Y37" s="592">
        <v>0</v>
      </c>
      <c r="Z37" s="592">
        <v>0</v>
      </c>
      <c r="AA37" s="592">
        <v>0</v>
      </c>
      <c r="AB37" s="592">
        <v>0</v>
      </c>
      <c r="AC37" s="592">
        <v>0</v>
      </c>
      <c r="AD37" s="592">
        <v>0</v>
      </c>
      <c r="AE37" s="592">
        <v>0</v>
      </c>
      <c r="AF37" s="592">
        <v>0</v>
      </c>
      <c r="AG37" s="592">
        <v>0</v>
      </c>
      <c r="AH37" s="592">
        <v>0</v>
      </c>
      <c r="AI37" s="592">
        <v>0</v>
      </c>
      <c r="AJ37" s="460">
        <v>0</v>
      </c>
      <c r="AK37" s="460">
        <v>0</v>
      </c>
      <c r="AL37" s="460">
        <v>0</v>
      </c>
      <c r="AM37" s="460">
        <v>0</v>
      </c>
      <c r="AN37" s="460">
        <v>0</v>
      </c>
      <c r="AO37" s="460">
        <v>0</v>
      </c>
      <c r="AP37" s="460">
        <v>0</v>
      </c>
      <c r="AQ37" s="460">
        <v>0</v>
      </c>
      <c r="AR37" s="460">
        <v>0</v>
      </c>
      <c r="AS37" s="460">
        <v>0</v>
      </c>
      <c r="AT37" s="460">
        <v>0</v>
      </c>
      <c r="AU37" s="460">
        <v>0</v>
      </c>
      <c r="AV37" s="460">
        <v>0</v>
      </c>
      <c r="AW37" s="460">
        <v>0</v>
      </c>
      <c r="AX37" s="460">
        <v>0</v>
      </c>
      <c r="AY37" s="460">
        <v>0</v>
      </c>
      <c r="AZ37" s="460">
        <v>0</v>
      </c>
    </row>
    <row r="38" spans="1:52" x14ac:dyDescent="0.2">
      <c r="A38" s="588" t="s">
        <v>293</v>
      </c>
      <c r="B38" s="588" t="s">
        <v>228</v>
      </c>
      <c r="C38" s="588" t="s">
        <v>199</v>
      </c>
      <c r="D38" s="588">
        <v>13242599.8076395</v>
      </c>
      <c r="E38" s="588">
        <v>5362.1476294759404</v>
      </c>
      <c r="F38" s="589">
        <v>2.21303057150392</v>
      </c>
      <c r="G38" s="589">
        <v>2.30510273399261</v>
      </c>
      <c r="H38" s="588">
        <v>-385643.84615966899</v>
      </c>
      <c r="I38" s="588">
        <v>10999795.630726401</v>
      </c>
      <c r="J38" s="588">
        <v>4796206.5780924195</v>
      </c>
      <c r="K38" s="588">
        <v>4604632.8556394698</v>
      </c>
      <c r="L38" s="460">
        <v>773158.40658050298</v>
      </c>
      <c r="M38" s="460">
        <v>4133099.6121122399</v>
      </c>
      <c r="N38" s="460">
        <v>4906258.0186927402</v>
      </c>
      <c r="O38" s="588">
        <v>153694.61094392301</v>
      </c>
      <c r="P38" s="588">
        <v>49761.914824284198</v>
      </c>
      <c r="Q38" s="588">
        <v>88598.461757532103</v>
      </c>
      <c r="R38" s="588">
        <v>241992.67935145201</v>
      </c>
      <c r="S38" s="592">
        <v>0</v>
      </c>
      <c r="T38" s="592">
        <v>0</v>
      </c>
      <c r="U38" s="592">
        <v>239110.73970331199</v>
      </c>
      <c r="V38" s="592">
        <v>0</v>
      </c>
      <c r="W38" s="592">
        <v>0</v>
      </c>
      <c r="X38" s="592">
        <v>0</v>
      </c>
      <c r="Y38" s="592">
        <v>1578654.64319038</v>
      </c>
      <c r="Z38" s="592">
        <v>2554444.9689218602</v>
      </c>
      <c r="AA38" s="592">
        <v>0</v>
      </c>
      <c r="AB38" s="592">
        <v>0</v>
      </c>
      <c r="AC38" s="592">
        <v>3387247.59556711</v>
      </c>
      <c r="AD38" s="592">
        <v>745852.01654513297</v>
      </c>
      <c r="AE38" s="592">
        <v>0</v>
      </c>
      <c r="AF38" s="592">
        <v>63760199.100974701</v>
      </c>
      <c r="AG38" s="592">
        <v>52643922.637892902</v>
      </c>
      <c r="AH38" s="592">
        <v>-405705.63486324198</v>
      </c>
      <c r="AI38" s="592">
        <v>-337047.74229293899</v>
      </c>
      <c r="AJ38" s="460">
        <v>0.20894711259241899</v>
      </c>
      <c r="AK38" s="460">
        <v>1.14418166262183</v>
      </c>
      <c r="AL38" s="460">
        <v>9.4416731193380607E-2</v>
      </c>
      <c r="AM38" s="460">
        <v>7.9196559114585896E-2</v>
      </c>
      <c r="AN38" s="460">
        <v>9.0645466473638497E-2</v>
      </c>
      <c r="AO38" s="460">
        <v>7.54252943948438E-2</v>
      </c>
      <c r="AP38" s="460">
        <v>0.240864314643493</v>
      </c>
      <c r="AQ38" s="460">
        <v>0.114530381399039</v>
      </c>
      <c r="AR38" s="460">
        <v>0.12975055347783301</v>
      </c>
      <c r="AS38" s="460">
        <v>0.118301646118781</v>
      </c>
      <c r="AT38" s="460">
        <v>0.133521818197576</v>
      </c>
      <c r="AU38" s="460">
        <v>0.62716139306257301</v>
      </c>
      <c r="AV38" s="460">
        <v>0.71050612838071803</v>
      </c>
      <c r="AW38" s="460">
        <v>0.64781260897881598</v>
      </c>
      <c r="AX38" s="460">
        <v>0.731157344296961</v>
      </c>
      <c r="AY38" s="460">
        <v>-3.1917202051073297E-2</v>
      </c>
      <c r="AZ38" s="460">
        <v>-0.17477665451291</v>
      </c>
    </row>
    <row r="39" spans="1:52" x14ac:dyDescent="0.2">
      <c r="A39" s="588" t="s">
        <v>299</v>
      </c>
      <c r="B39" s="588" t="s">
        <v>229</v>
      </c>
      <c r="C39" s="588" t="s">
        <v>76</v>
      </c>
      <c r="D39" s="588">
        <v>0</v>
      </c>
      <c r="E39" s="588">
        <v>0</v>
      </c>
      <c r="F39" s="589">
        <v>0</v>
      </c>
      <c r="G39" s="589">
        <v>0</v>
      </c>
      <c r="H39" s="588">
        <v>0</v>
      </c>
      <c r="I39" s="588">
        <v>0</v>
      </c>
      <c r="J39" s="588">
        <v>2221278.2598325401</v>
      </c>
      <c r="K39" s="588">
        <v>2221278.2598325401</v>
      </c>
      <c r="L39" s="460">
        <v>2221278.2598325401</v>
      </c>
      <c r="M39" s="460">
        <v>0</v>
      </c>
      <c r="N39" s="460">
        <v>2221278.2598325401</v>
      </c>
      <c r="O39" s="588">
        <v>101472.844098146</v>
      </c>
      <c r="P39" s="588">
        <v>54201.776315388503</v>
      </c>
      <c r="Q39" s="588">
        <v>48943.560841183898</v>
      </c>
      <c r="R39" s="588">
        <v>2016660.07857783</v>
      </c>
      <c r="S39" s="592">
        <v>0</v>
      </c>
      <c r="T39" s="592">
        <v>0</v>
      </c>
      <c r="U39" s="592">
        <v>0</v>
      </c>
      <c r="V39" s="592">
        <v>0</v>
      </c>
      <c r="W39" s="592">
        <v>0</v>
      </c>
      <c r="X39" s="592">
        <v>0</v>
      </c>
      <c r="Y39" s="592">
        <v>0</v>
      </c>
      <c r="Z39" s="592">
        <v>0</v>
      </c>
      <c r="AA39" s="592">
        <v>0</v>
      </c>
      <c r="AB39" s="592">
        <v>0</v>
      </c>
      <c r="AC39" s="592">
        <v>0</v>
      </c>
      <c r="AD39" s="592">
        <v>0</v>
      </c>
      <c r="AE39" s="592">
        <v>0</v>
      </c>
      <c r="AF39" s="592">
        <v>0</v>
      </c>
      <c r="AG39" s="592">
        <v>0</v>
      </c>
      <c r="AH39" s="592">
        <v>0</v>
      </c>
      <c r="AI39" s="592">
        <v>0</v>
      </c>
      <c r="AJ39" s="460">
        <v>0</v>
      </c>
      <c r="AK39" s="460">
        <v>0</v>
      </c>
      <c r="AL39" s="460">
        <v>0</v>
      </c>
      <c r="AM39" s="460">
        <v>0</v>
      </c>
      <c r="AN39" s="460">
        <v>0</v>
      </c>
      <c r="AO39" s="460">
        <v>0</v>
      </c>
      <c r="AP39" s="460">
        <v>0</v>
      </c>
      <c r="AQ39" s="460">
        <v>0</v>
      </c>
      <c r="AR39" s="460">
        <v>0</v>
      </c>
      <c r="AS39" s="460">
        <v>0</v>
      </c>
      <c r="AT39" s="460">
        <v>0</v>
      </c>
      <c r="AU39" s="460">
        <v>0</v>
      </c>
      <c r="AV39" s="460">
        <v>0</v>
      </c>
      <c r="AW39" s="460">
        <v>0</v>
      </c>
      <c r="AX39" s="460">
        <v>0</v>
      </c>
      <c r="AY39" s="460">
        <v>0</v>
      </c>
      <c r="AZ39" s="460">
        <v>0</v>
      </c>
    </row>
    <row r="40" spans="1:52" x14ac:dyDescent="0.2">
      <c r="A40" s="588" t="s">
        <v>300</v>
      </c>
      <c r="B40" s="588" t="s">
        <v>229</v>
      </c>
      <c r="C40" s="588" t="s">
        <v>198</v>
      </c>
      <c r="D40" s="588">
        <v>47098207.221823797</v>
      </c>
      <c r="E40" s="588">
        <v>7560.2504545397996</v>
      </c>
      <c r="F40" s="589">
        <v>2.61110547306893</v>
      </c>
      <c r="G40" s="589">
        <v>4.9721117861932997</v>
      </c>
      <c r="H40" s="588">
        <v>0</v>
      </c>
      <c r="I40" s="588">
        <v>30098421.946651701</v>
      </c>
      <c r="J40" s="588">
        <v>11527080.103461299</v>
      </c>
      <c r="K40" s="588">
        <v>6053448.3617664902</v>
      </c>
      <c r="L40" s="460">
        <v>2611895.9428026099</v>
      </c>
      <c r="M40" s="460">
        <v>3712481.7500419798</v>
      </c>
      <c r="N40" s="460">
        <v>6324377.6928445902</v>
      </c>
      <c r="O40" s="588">
        <v>264953.70936837402</v>
      </c>
      <c r="P40" s="588">
        <v>49474.015046866101</v>
      </c>
      <c r="Q40" s="588">
        <v>84811.026027809494</v>
      </c>
      <c r="R40" s="588">
        <v>2004825.4982742099</v>
      </c>
      <c r="S40" s="592">
        <v>0</v>
      </c>
      <c r="T40" s="592">
        <v>0</v>
      </c>
      <c r="U40" s="592">
        <v>207831.694085347</v>
      </c>
      <c r="V40" s="592">
        <v>0</v>
      </c>
      <c r="W40" s="592">
        <v>0</v>
      </c>
      <c r="X40" s="592">
        <v>0</v>
      </c>
      <c r="Y40" s="592">
        <v>0</v>
      </c>
      <c r="Z40" s="592">
        <v>0</v>
      </c>
      <c r="AA40" s="592">
        <v>3712481.7500419798</v>
      </c>
      <c r="AB40" s="592">
        <v>0</v>
      </c>
      <c r="AC40" s="592">
        <v>11050405.1451384</v>
      </c>
      <c r="AD40" s="592">
        <v>0</v>
      </c>
      <c r="AE40" s="592">
        <v>5104718.1311803302</v>
      </c>
      <c r="AF40" s="592">
        <v>300204593.690678</v>
      </c>
      <c r="AG40" s="592">
        <v>247256288.105261</v>
      </c>
      <c r="AH40" s="592">
        <v>0</v>
      </c>
      <c r="AI40" s="592">
        <v>0</v>
      </c>
      <c r="AJ40" s="460">
        <v>0.121729652164957</v>
      </c>
      <c r="AK40" s="460">
        <v>0</v>
      </c>
      <c r="AL40" s="460">
        <v>4.7537758467268598E-2</v>
      </c>
      <c r="AM40" s="460">
        <v>3.6056450693230997E-2</v>
      </c>
      <c r="AN40" s="460">
        <v>2.54002760046808E-2</v>
      </c>
      <c r="AO40" s="460">
        <v>1.3918968230643199E-2</v>
      </c>
      <c r="AP40" s="460">
        <v>0.18353437302224801</v>
      </c>
      <c r="AQ40" s="460">
        <v>7.4191893697687902E-2</v>
      </c>
      <c r="AR40" s="460">
        <v>8.5673201471725496E-2</v>
      </c>
      <c r="AS40" s="460">
        <v>9.6329376160275704E-2</v>
      </c>
      <c r="AT40" s="460">
        <v>0.10781068393431301</v>
      </c>
      <c r="AU40" s="460">
        <v>0</v>
      </c>
      <c r="AV40" s="460">
        <v>0</v>
      </c>
      <c r="AW40" s="460">
        <v>0</v>
      </c>
      <c r="AX40" s="460">
        <v>0</v>
      </c>
      <c r="AY40" s="460">
        <v>-6.1804720857291599E-2</v>
      </c>
      <c r="AZ40" s="460">
        <v>0</v>
      </c>
    </row>
    <row r="41" spans="1:52" x14ac:dyDescent="0.2">
      <c r="A41" s="588" t="s">
        <v>303</v>
      </c>
      <c r="B41" s="588" t="s">
        <v>229</v>
      </c>
      <c r="C41" s="588" t="s">
        <v>15</v>
      </c>
      <c r="D41" s="588">
        <v>47392691.798638299</v>
      </c>
      <c r="E41" s="588">
        <v>7854.71436371646</v>
      </c>
      <c r="F41" s="589">
        <v>3.0334819161761399</v>
      </c>
      <c r="G41" s="589">
        <v>3.94591330831696</v>
      </c>
      <c r="H41" s="588">
        <v>-668686.61845741898</v>
      </c>
      <c r="I41" s="588">
        <v>32073799.712491799</v>
      </c>
      <c r="J41" s="588">
        <v>10352826.8708528</v>
      </c>
      <c r="K41" s="588">
        <v>7958895.8601398095</v>
      </c>
      <c r="L41" s="460">
        <v>3993494.75216306</v>
      </c>
      <c r="M41" s="460">
        <v>4277569.3794</v>
      </c>
      <c r="N41" s="460">
        <v>8271064.13156306</v>
      </c>
      <c r="O41" s="588">
        <v>330088.33704529802</v>
      </c>
      <c r="P41" s="588">
        <v>19292.667391881801</v>
      </c>
      <c r="Q41" s="588">
        <v>174287.168475279</v>
      </c>
      <c r="R41" s="588">
        <v>2344338.0157392598</v>
      </c>
      <c r="S41" s="592">
        <v>0</v>
      </c>
      <c r="T41" s="592">
        <v>0</v>
      </c>
      <c r="U41" s="592">
        <v>1125488.5635113399</v>
      </c>
      <c r="V41" s="592">
        <v>0</v>
      </c>
      <c r="W41" s="592">
        <v>0</v>
      </c>
      <c r="X41" s="592">
        <v>0</v>
      </c>
      <c r="Y41" s="592">
        <v>0</v>
      </c>
      <c r="Z41" s="592">
        <v>0</v>
      </c>
      <c r="AA41" s="592">
        <v>4277569.3794</v>
      </c>
      <c r="AB41" s="592">
        <v>0</v>
      </c>
      <c r="AC41" s="592">
        <v>7733453.3437918499</v>
      </c>
      <c r="AD41" s="592">
        <v>0</v>
      </c>
      <c r="AE41" s="592">
        <v>2008472.2397978399</v>
      </c>
      <c r="AF41" s="592">
        <v>366052740.44026899</v>
      </c>
      <c r="AG41" s="592">
        <v>240996866.32925999</v>
      </c>
      <c r="AH41" s="592">
        <v>-990696.42200633103</v>
      </c>
      <c r="AI41" s="592">
        <v>-656512.20735498599</v>
      </c>
      <c r="AJ41" s="460">
        <v>0.13308803637583899</v>
      </c>
      <c r="AK41" s="460">
        <v>1.0185440742244301</v>
      </c>
      <c r="AL41" s="460">
        <v>4.4834706050074599E-2</v>
      </c>
      <c r="AM41" s="460">
        <v>2.6949465897608701E-2</v>
      </c>
      <c r="AN41" s="460">
        <v>3.4689747282339999E-2</v>
      </c>
      <c r="AO41" s="460">
        <v>1.6804507129874101E-2</v>
      </c>
      <c r="AP41" s="460">
        <v>0.194960500966922</v>
      </c>
      <c r="AQ41" s="460">
        <v>8.8253330325764906E-2</v>
      </c>
      <c r="AR41" s="460">
        <v>0.106138570478231</v>
      </c>
      <c r="AS41" s="460">
        <v>9.83982890934995E-2</v>
      </c>
      <c r="AT41" s="460">
        <v>0.11628352924596499</v>
      </c>
      <c r="AU41" s="460">
        <v>0.67541688255155596</v>
      </c>
      <c r="AV41" s="460">
        <v>0.81229549215047603</v>
      </c>
      <c r="AW41" s="460">
        <v>0.75305787807234703</v>
      </c>
      <c r="AX41" s="460">
        <v>0.88993648767126798</v>
      </c>
      <c r="AY41" s="460">
        <v>-6.1872464591082602E-2</v>
      </c>
      <c r="AZ41" s="460">
        <v>-0.47351988866186401</v>
      </c>
    </row>
    <row r="42" spans="1:52" x14ac:dyDescent="0.2">
      <c r="A42" s="588" t="s">
        <v>305</v>
      </c>
      <c r="B42" s="588" t="s">
        <v>229</v>
      </c>
      <c r="C42" s="588" t="s">
        <v>37</v>
      </c>
      <c r="D42" s="588">
        <v>46385459.991887897</v>
      </c>
      <c r="E42" s="588">
        <v>13473.8575598753</v>
      </c>
      <c r="F42" s="589">
        <v>1.1718580621513199</v>
      </c>
      <c r="G42" s="589">
        <v>1.21988710523892</v>
      </c>
      <c r="H42" s="588">
        <v>-216195.385377506</v>
      </c>
      <c r="I42" s="588">
        <v>21005013.090420499</v>
      </c>
      <c r="J42" s="588">
        <v>17740047.516401902</v>
      </c>
      <c r="K42" s="588">
        <v>17041591.4847886</v>
      </c>
      <c r="L42" s="460">
        <v>3072470.8526234501</v>
      </c>
      <c r="M42" s="460">
        <v>15068811.715691101</v>
      </c>
      <c r="N42" s="460">
        <v>18141282.568314601</v>
      </c>
      <c r="O42" s="588">
        <v>853346.63076936197</v>
      </c>
      <c r="P42" s="588">
        <v>339830.52592558903</v>
      </c>
      <c r="Q42" s="588">
        <v>75835.234938877096</v>
      </c>
      <c r="R42" s="588">
        <v>1636874.58580217</v>
      </c>
      <c r="S42" s="592">
        <v>0</v>
      </c>
      <c r="T42" s="592">
        <v>0</v>
      </c>
      <c r="U42" s="592">
        <v>166583.87518745201</v>
      </c>
      <c r="V42" s="592">
        <v>0</v>
      </c>
      <c r="W42" s="592">
        <v>0</v>
      </c>
      <c r="X42" s="592">
        <v>0</v>
      </c>
      <c r="Y42" s="592">
        <v>5779070.8231693199</v>
      </c>
      <c r="Z42" s="592">
        <v>9289740.8925218191</v>
      </c>
      <c r="AA42" s="592">
        <v>0</v>
      </c>
      <c r="AB42" s="592">
        <v>0</v>
      </c>
      <c r="AC42" s="592">
        <v>5002086.4366651196</v>
      </c>
      <c r="AD42" s="592">
        <v>10066725.279034199</v>
      </c>
      <c r="AE42" s="592">
        <v>4.93160162292493E-6</v>
      </c>
      <c r="AF42" s="592">
        <v>286948190.76653397</v>
      </c>
      <c r="AG42" s="592">
        <v>183358646.90934199</v>
      </c>
      <c r="AH42" s="592">
        <v>-397754.75711877103</v>
      </c>
      <c r="AI42" s="592">
        <v>-209559.027859013</v>
      </c>
      <c r="AJ42" s="460">
        <v>0.114556981328544</v>
      </c>
      <c r="AK42" s="460">
        <v>1.0316682014909799</v>
      </c>
      <c r="AL42" s="460">
        <v>9.9007201431889097E-2</v>
      </c>
      <c r="AM42" s="460">
        <v>8.0825823279013997E-2</v>
      </c>
      <c r="AN42" s="460">
        <v>9.5158352704291099E-2</v>
      </c>
      <c r="AO42" s="460">
        <v>7.6976974551415903E-2</v>
      </c>
      <c r="AP42" s="460">
        <v>0.25312546194500102</v>
      </c>
      <c r="AQ42" s="460">
        <v>1.5549779896654599E-2</v>
      </c>
      <c r="AR42" s="460">
        <v>3.3731158049529697E-2</v>
      </c>
      <c r="AS42" s="460">
        <v>1.9398628624252599E-2</v>
      </c>
      <c r="AT42" s="460">
        <v>3.7580006777127799E-2</v>
      </c>
      <c r="AU42" s="460">
        <v>0.14003697787362401</v>
      </c>
      <c r="AV42" s="460">
        <v>0.30377339517504698</v>
      </c>
      <c r="AW42" s="460">
        <v>0.17469863531747401</v>
      </c>
      <c r="AX42" s="460">
        <v>0.338435052618897</v>
      </c>
      <c r="AY42" s="460">
        <v>-0.13856848061645699</v>
      </c>
      <c r="AZ42" s="460">
        <v>-1.2479090625729199</v>
      </c>
    </row>
    <row r="43" spans="1:52" x14ac:dyDescent="0.2">
      <c r="A43" s="588" t="s">
        <v>306</v>
      </c>
      <c r="B43" s="588" t="s">
        <v>229</v>
      </c>
      <c r="C43" s="588" t="s">
        <v>77</v>
      </c>
      <c r="D43" s="588">
        <v>0</v>
      </c>
      <c r="E43" s="588">
        <v>0</v>
      </c>
      <c r="F43" s="589">
        <v>0</v>
      </c>
      <c r="G43" s="589">
        <v>0</v>
      </c>
      <c r="H43" s="588">
        <v>0</v>
      </c>
      <c r="I43" s="588">
        <v>0</v>
      </c>
      <c r="J43" s="588">
        <v>447783.57612551498</v>
      </c>
      <c r="K43" s="588">
        <v>447783.57612551498</v>
      </c>
      <c r="L43" s="460">
        <v>447783.57612551498</v>
      </c>
      <c r="M43" s="460">
        <v>0</v>
      </c>
      <c r="N43" s="460">
        <v>447783.57612551498</v>
      </c>
      <c r="O43" s="588">
        <v>19690.459892061001</v>
      </c>
      <c r="P43" s="588">
        <v>44497.369658044299</v>
      </c>
      <c r="Q43" s="588">
        <v>0</v>
      </c>
      <c r="R43" s="588">
        <v>383595.74657541001</v>
      </c>
      <c r="S43" s="592">
        <v>0</v>
      </c>
      <c r="T43" s="592">
        <v>0</v>
      </c>
      <c r="U43" s="592">
        <v>0</v>
      </c>
      <c r="V43" s="592">
        <v>0</v>
      </c>
      <c r="W43" s="592">
        <v>0</v>
      </c>
      <c r="X43" s="592">
        <v>0</v>
      </c>
      <c r="Y43" s="592">
        <v>0</v>
      </c>
      <c r="Z43" s="592">
        <v>0</v>
      </c>
      <c r="AA43" s="592">
        <v>0</v>
      </c>
      <c r="AB43" s="592">
        <v>0</v>
      </c>
      <c r="AC43" s="592">
        <v>0</v>
      </c>
      <c r="AD43" s="592">
        <v>0</v>
      </c>
      <c r="AE43" s="592">
        <v>0</v>
      </c>
      <c r="AF43" s="592">
        <v>0</v>
      </c>
      <c r="AG43" s="592">
        <v>0</v>
      </c>
      <c r="AH43" s="592">
        <v>0</v>
      </c>
      <c r="AI43" s="592">
        <v>0</v>
      </c>
      <c r="AJ43" s="460">
        <v>0</v>
      </c>
      <c r="AK43" s="460">
        <v>0</v>
      </c>
      <c r="AL43" s="460">
        <v>0</v>
      </c>
      <c r="AM43" s="460">
        <v>0</v>
      </c>
      <c r="AN43" s="460">
        <v>0</v>
      </c>
      <c r="AO43" s="460">
        <v>0</v>
      </c>
      <c r="AP43" s="460">
        <v>0</v>
      </c>
      <c r="AQ43" s="460">
        <v>0</v>
      </c>
      <c r="AR43" s="460">
        <v>0</v>
      </c>
      <c r="AS43" s="460">
        <v>0</v>
      </c>
      <c r="AT43" s="460">
        <v>0</v>
      </c>
      <c r="AU43" s="460">
        <v>0</v>
      </c>
      <c r="AV43" s="460">
        <v>0</v>
      </c>
      <c r="AW43" s="460">
        <v>0</v>
      </c>
      <c r="AX43" s="460">
        <v>0</v>
      </c>
      <c r="AY43" s="460">
        <v>0</v>
      </c>
      <c r="AZ43" s="460">
        <v>0</v>
      </c>
    </row>
    <row r="44" spans="1:52" x14ac:dyDescent="0.2">
      <c r="A44" s="588" t="s">
        <v>309</v>
      </c>
      <c r="B44" s="588" t="s">
        <v>229</v>
      </c>
      <c r="C44" s="588" t="s">
        <v>12</v>
      </c>
      <c r="D44" s="588">
        <v>21301968.4682183</v>
      </c>
      <c r="E44" s="588">
        <v>7526.5946067916702</v>
      </c>
      <c r="F44" s="589">
        <v>0.54421947545835003</v>
      </c>
      <c r="G44" s="589">
        <v>0.652005094230239</v>
      </c>
      <c r="H44" s="588">
        <v>-23086.3868569353</v>
      </c>
      <c r="I44" s="588">
        <v>14725860.585564399</v>
      </c>
      <c r="J44" s="588">
        <v>27016258.8105186</v>
      </c>
      <c r="K44" s="588">
        <v>22550090.986736301</v>
      </c>
      <c r="L44" s="460">
        <v>12187509.742462199</v>
      </c>
      <c r="M44" s="460">
        <v>11178354.727567</v>
      </c>
      <c r="N44" s="460">
        <v>23365864.470029298</v>
      </c>
      <c r="O44" s="588">
        <v>1318308.0989981799</v>
      </c>
      <c r="P44" s="588">
        <v>119292.232893879</v>
      </c>
      <c r="Q44" s="588">
        <v>101010.798978942</v>
      </c>
      <c r="R44" s="588">
        <v>10544408.0661078</v>
      </c>
      <c r="S44" s="592">
        <v>0</v>
      </c>
      <c r="T44" s="592">
        <v>0</v>
      </c>
      <c r="U44" s="592">
        <v>104490.54548345</v>
      </c>
      <c r="V44" s="592">
        <v>0</v>
      </c>
      <c r="W44" s="592">
        <v>0</v>
      </c>
      <c r="X44" s="592">
        <v>0</v>
      </c>
      <c r="Y44" s="592">
        <v>0</v>
      </c>
      <c r="Z44" s="592">
        <v>0</v>
      </c>
      <c r="AA44" s="592">
        <v>2923135.8790425402</v>
      </c>
      <c r="AB44" s="592">
        <v>8255218.8485244904</v>
      </c>
      <c r="AC44" s="592">
        <v>13320621.369862899</v>
      </c>
      <c r="AD44" s="592">
        <v>2031264.53079395</v>
      </c>
      <c r="AE44" s="592">
        <v>3369977.8474146398</v>
      </c>
      <c r="AF44" s="592">
        <v>124660515.572881</v>
      </c>
      <c r="AG44" s="592">
        <v>101223422.885332</v>
      </c>
      <c r="AH44" s="592">
        <v>-6667.1778424431304</v>
      </c>
      <c r="AI44" s="592">
        <v>-19563.109010395801</v>
      </c>
      <c r="AJ44" s="460">
        <v>0.145478785105362</v>
      </c>
      <c r="AK44" s="460">
        <v>1.1800980531605301</v>
      </c>
      <c r="AL44" s="460">
        <v>0.26731638918808898</v>
      </c>
      <c r="AM44" s="460">
        <v>0.14672526217826001</v>
      </c>
      <c r="AN44" s="460">
        <v>0.22312522769030699</v>
      </c>
      <c r="AO44" s="460">
        <v>0.102534100680478</v>
      </c>
      <c r="AP44" s="460">
        <v>0.38175001658003799</v>
      </c>
      <c r="AQ44" s="460">
        <v>-0.12183760408272699</v>
      </c>
      <c r="AR44" s="460">
        <v>-1.24647707289786E-3</v>
      </c>
      <c r="AS44" s="460">
        <v>-7.76464425849447E-2</v>
      </c>
      <c r="AT44" s="460">
        <v>4.2944684424884298E-2</v>
      </c>
      <c r="AU44" s="460">
        <v>-0.98832499374910898</v>
      </c>
      <c r="AV44" s="460">
        <v>-1.01112005165124E-2</v>
      </c>
      <c r="AW44" s="460">
        <v>-0.62985414445870902</v>
      </c>
      <c r="AX44" s="460">
        <v>0.34835964877388598</v>
      </c>
      <c r="AY44" s="460">
        <v>-0.23627123147467599</v>
      </c>
      <c r="AZ44" s="460">
        <v>-1.91659024427057</v>
      </c>
    </row>
    <row r="45" spans="1:52" x14ac:dyDescent="0.2">
      <c r="A45" s="588" t="s">
        <v>310</v>
      </c>
      <c r="B45" s="588" t="s">
        <v>229</v>
      </c>
      <c r="C45" s="588" t="s">
        <v>14</v>
      </c>
      <c r="D45" s="588">
        <v>92542104.610495493</v>
      </c>
      <c r="E45" s="588">
        <v>4847.2451809548602</v>
      </c>
      <c r="F45" s="589">
        <v>2.9574451340574002</v>
      </c>
      <c r="G45" s="589">
        <v>4.1494798572771003</v>
      </c>
      <c r="H45" s="588">
        <v>0</v>
      </c>
      <c r="I45" s="588">
        <v>48926222.097866297</v>
      </c>
      <c r="J45" s="588">
        <v>16543408.2054273</v>
      </c>
      <c r="K45" s="588">
        <v>11790928.9310231</v>
      </c>
      <c r="L45" s="460">
        <v>3131787.6058982401</v>
      </c>
      <c r="M45" s="460">
        <v>9340814.9076627195</v>
      </c>
      <c r="N45" s="460">
        <v>12472602.513560999</v>
      </c>
      <c r="O45" s="588">
        <v>408418.09231445199</v>
      </c>
      <c r="P45" s="588">
        <v>38683.8514147155</v>
      </c>
      <c r="Q45" s="588">
        <v>20767.991626082199</v>
      </c>
      <c r="R45" s="588">
        <v>2663917.6705429899</v>
      </c>
      <c r="S45" s="592">
        <v>0</v>
      </c>
      <c r="T45" s="592">
        <v>0</v>
      </c>
      <c r="U45" s="592">
        <v>0</v>
      </c>
      <c r="V45" s="592">
        <v>0</v>
      </c>
      <c r="W45" s="592">
        <v>0</v>
      </c>
      <c r="X45" s="592">
        <v>0</v>
      </c>
      <c r="Y45" s="592">
        <v>0</v>
      </c>
      <c r="Z45" s="592">
        <v>0</v>
      </c>
      <c r="AA45" s="592">
        <v>9340814.9076627195</v>
      </c>
      <c r="AB45" s="592">
        <v>0</v>
      </c>
      <c r="AC45" s="592">
        <v>16509962.5075229</v>
      </c>
      <c r="AD45" s="592">
        <v>0</v>
      </c>
      <c r="AE45" s="592">
        <v>4301110.5749469204</v>
      </c>
      <c r="AF45" s="592">
        <v>679826117.22718596</v>
      </c>
      <c r="AG45" s="592">
        <v>441645454.43840802</v>
      </c>
      <c r="AH45" s="592">
        <v>0</v>
      </c>
      <c r="AI45" s="592">
        <v>0</v>
      </c>
      <c r="AJ45" s="460">
        <v>0.110781672507148</v>
      </c>
      <c r="AK45" s="460">
        <v>0</v>
      </c>
      <c r="AL45" s="460">
        <v>3.7458572343880898E-2</v>
      </c>
      <c r="AM45" s="460">
        <v>3.0367391908478099E-2</v>
      </c>
      <c r="AN45" s="460">
        <v>2.6697725092668202E-2</v>
      </c>
      <c r="AO45" s="460">
        <v>1.9606544657265398E-2</v>
      </c>
      <c r="AP45" s="460">
        <v>0.18774123342341401</v>
      </c>
      <c r="AQ45" s="460">
        <v>7.3323100163266999E-2</v>
      </c>
      <c r="AR45" s="460">
        <v>8.0414280598669896E-2</v>
      </c>
      <c r="AS45" s="460">
        <v>8.4083947414479707E-2</v>
      </c>
      <c r="AT45" s="460">
        <v>9.1175127849882603E-2</v>
      </c>
      <c r="AU45" s="460">
        <v>0</v>
      </c>
      <c r="AV45" s="460">
        <v>0</v>
      </c>
      <c r="AW45" s="460">
        <v>0</v>
      </c>
      <c r="AX45" s="460">
        <v>0</v>
      </c>
      <c r="AY45" s="460">
        <v>-7.6959560916266406E-2</v>
      </c>
      <c r="AZ45" s="460">
        <v>0</v>
      </c>
    </row>
    <row r="46" spans="1:52" x14ac:dyDescent="0.2">
      <c r="A46" s="588" t="s">
        <v>312</v>
      </c>
      <c r="B46" s="588" t="s">
        <v>229</v>
      </c>
      <c r="C46" s="588" t="s">
        <v>20</v>
      </c>
      <c r="D46" s="588">
        <v>21469930.2009327</v>
      </c>
      <c r="E46" s="588">
        <v>6587.0482037930096</v>
      </c>
      <c r="F46" s="589">
        <v>0.870179686524156</v>
      </c>
      <c r="G46" s="589">
        <v>1.2779747428633501</v>
      </c>
      <c r="H46" s="588">
        <v>-121028.54120869801</v>
      </c>
      <c r="I46" s="588">
        <v>11181414.0936122</v>
      </c>
      <c r="J46" s="588">
        <v>12710461.6709488</v>
      </c>
      <c r="K46" s="588">
        <v>8654619.8304532804</v>
      </c>
      <c r="L46" s="460">
        <v>1657328.9051647701</v>
      </c>
      <c r="M46" s="460">
        <v>7548138.6588000003</v>
      </c>
      <c r="N46" s="460">
        <v>9205467.5639647692</v>
      </c>
      <c r="O46" s="588">
        <v>445478.94353452499</v>
      </c>
      <c r="P46" s="588">
        <v>87961.870216845797</v>
      </c>
      <c r="Q46" s="588">
        <v>68524.555094567797</v>
      </c>
      <c r="R46" s="588">
        <v>888779.66113138199</v>
      </c>
      <c r="S46" s="592">
        <v>0</v>
      </c>
      <c r="T46" s="592">
        <v>0</v>
      </c>
      <c r="U46" s="592">
        <v>166583.87518745201</v>
      </c>
      <c r="V46" s="592">
        <v>0</v>
      </c>
      <c r="W46" s="592">
        <v>0</v>
      </c>
      <c r="X46" s="592">
        <v>0</v>
      </c>
      <c r="Y46" s="592">
        <v>0</v>
      </c>
      <c r="Z46" s="592">
        <v>0</v>
      </c>
      <c r="AA46" s="592">
        <v>0</v>
      </c>
      <c r="AB46" s="592">
        <v>7548138.6588000003</v>
      </c>
      <c r="AC46" s="592">
        <v>13504524.727669001</v>
      </c>
      <c r="AD46" s="592">
        <v>0</v>
      </c>
      <c r="AE46" s="592">
        <v>3699903.6413214202</v>
      </c>
      <c r="AF46" s="592">
        <v>140155255.30431899</v>
      </c>
      <c r="AG46" s="592">
        <v>93406752.794993103</v>
      </c>
      <c r="AH46" s="592">
        <v>-180637.34812637299</v>
      </c>
      <c r="AI46" s="592">
        <v>-120466.011803378</v>
      </c>
      <c r="AJ46" s="460">
        <v>0.119706699559002</v>
      </c>
      <c r="AK46" s="460">
        <v>1.0046696109292499</v>
      </c>
      <c r="AL46" s="460">
        <v>0.13756549527966899</v>
      </c>
      <c r="AM46" s="460">
        <v>0.119628202553205</v>
      </c>
      <c r="AN46" s="460">
        <v>9.3669065235824203E-2</v>
      </c>
      <c r="AO46" s="460">
        <v>7.5731772509360695E-2</v>
      </c>
      <c r="AP46" s="460">
        <v>0.25073868284282602</v>
      </c>
      <c r="AQ46" s="460">
        <v>-1.7858795720666301E-2</v>
      </c>
      <c r="AR46" s="460">
        <v>7.8497005797097195E-5</v>
      </c>
      <c r="AS46" s="460">
        <v>2.6037634323178099E-2</v>
      </c>
      <c r="AT46" s="460">
        <v>4.39749270496416E-2</v>
      </c>
      <c r="AU46" s="460">
        <v>-0.14988458803431301</v>
      </c>
      <c r="AV46" s="460">
        <v>6.5880653766635204E-4</v>
      </c>
      <c r="AW46" s="460">
        <v>0.21852761826493</v>
      </c>
      <c r="AX46" s="460">
        <v>0.36907101283691002</v>
      </c>
      <c r="AY46" s="460">
        <v>-0.13103198328382301</v>
      </c>
      <c r="AZ46" s="460">
        <v>-1.0997200002173899</v>
      </c>
    </row>
    <row r="47" spans="1:52" x14ac:dyDescent="0.2">
      <c r="A47" s="588" t="s">
        <v>317</v>
      </c>
      <c r="B47" s="588" t="s">
        <v>233</v>
      </c>
      <c r="C47" s="588" t="s">
        <v>78</v>
      </c>
      <c r="D47" s="588">
        <v>0</v>
      </c>
      <c r="E47" s="588">
        <v>0</v>
      </c>
      <c r="F47" s="589">
        <v>0</v>
      </c>
      <c r="G47" s="589">
        <v>0</v>
      </c>
      <c r="H47" s="588">
        <v>0</v>
      </c>
      <c r="I47" s="588">
        <v>0</v>
      </c>
      <c r="J47" s="588">
        <v>804204.40730489197</v>
      </c>
      <c r="K47" s="588">
        <v>804204.40730489197</v>
      </c>
      <c r="L47" s="460">
        <v>804204.40730489197</v>
      </c>
      <c r="M47" s="460">
        <v>0</v>
      </c>
      <c r="N47" s="460">
        <v>804204.40730489197</v>
      </c>
      <c r="O47" s="588">
        <v>37490.162114813298</v>
      </c>
      <c r="P47" s="588">
        <v>26235.045896707099</v>
      </c>
      <c r="Q47" s="588">
        <v>0</v>
      </c>
      <c r="R47" s="588">
        <v>740479.19929337199</v>
      </c>
      <c r="S47" s="592">
        <v>0</v>
      </c>
      <c r="T47" s="592">
        <v>0</v>
      </c>
      <c r="U47" s="592">
        <v>0</v>
      </c>
      <c r="V47" s="592">
        <v>0</v>
      </c>
      <c r="W47" s="592">
        <v>0</v>
      </c>
      <c r="X47" s="592">
        <v>0</v>
      </c>
      <c r="Y47" s="592">
        <v>0</v>
      </c>
      <c r="Z47" s="592">
        <v>0</v>
      </c>
      <c r="AA47" s="592">
        <v>0</v>
      </c>
      <c r="AB47" s="592">
        <v>0</v>
      </c>
      <c r="AC47" s="592">
        <v>0</v>
      </c>
      <c r="AD47" s="592">
        <v>0</v>
      </c>
      <c r="AE47" s="592">
        <v>0</v>
      </c>
      <c r="AF47" s="592">
        <v>0</v>
      </c>
      <c r="AG47" s="592">
        <v>0</v>
      </c>
      <c r="AH47" s="592">
        <v>0</v>
      </c>
      <c r="AI47" s="592">
        <v>0</v>
      </c>
      <c r="AJ47" s="460">
        <v>0</v>
      </c>
      <c r="AK47" s="460">
        <v>0</v>
      </c>
      <c r="AL47" s="460">
        <v>0</v>
      </c>
      <c r="AM47" s="460">
        <v>0</v>
      </c>
      <c r="AN47" s="460">
        <v>0</v>
      </c>
      <c r="AO47" s="460">
        <v>0</v>
      </c>
      <c r="AP47" s="460">
        <v>0</v>
      </c>
      <c r="AQ47" s="460">
        <v>0</v>
      </c>
      <c r="AR47" s="460">
        <v>0</v>
      </c>
      <c r="AS47" s="460">
        <v>0</v>
      </c>
      <c r="AT47" s="460">
        <v>0</v>
      </c>
      <c r="AU47" s="460">
        <v>0</v>
      </c>
      <c r="AV47" s="460">
        <v>0</v>
      </c>
      <c r="AW47" s="460">
        <v>0</v>
      </c>
      <c r="AX47" s="460">
        <v>0</v>
      </c>
      <c r="AY47" s="460">
        <v>0</v>
      </c>
      <c r="AZ47" s="460">
        <v>0</v>
      </c>
    </row>
    <row r="48" spans="1:52" x14ac:dyDescent="0.2">
      <c r="A48" s="588" t="s">
        <v>318</v>
      </c>
      <c r="B48" s="588" t="s">
        <v>233</v>
      </c>
      <c r="C48" s="588" t="s">
        <v>16</v>
      </c>
      <c r="D48" s="588">
        <v>16404011.1270821</v>
      </c>
      <c r="E48" s="588">
        <v>2277.0197669341301</v>
      </c>
      <c r="F48" s="589">
        <v>1.10179629307118</v>
      </c>
      <c r="G48" s="589">
        <v>2.3335680357564099</v>
      </c>
      <c r="H48" s="588">
        <v>0</v>
      </c>
      <c r="I48" s="588">
        <v>8258165.4317933302</v>
      </c>
      <c r="J48" s="588">
        <v>7495183.5323154898</v>
      </c>
      <c r="K48" s="588">
        <v>3538857.7942689001</v>
      </c>
      <c r="L48" s="460">
        <v>2007844.89266923</v>
      </c>
      <c r="M48" s="460">
        <v>1651538.8302523</v>
      </c>
      <c r="N48" s="460">
        <v>3659383.7229215298</v>
      </c>
      <c r="O48" s="588">
        <v>162100.07472378001</v>
      </c>
      <c r="P48" s="588">
        <v>21391.0905568136</v>
      </c>
      <c r="Q48" s="588">
        <v>41593.119534614401</v>
      </c>
      <c r="R48" s="588">
        <v>1654992.8101280499</v>
      </c>
      <c r="S48" s="592">
        <v>0</v>
      </c>
      <c r="T48" s="592">
        <v>0</v>
      </c>
      <c r="U48" s="592">
        <v>127767.797725973</v>
      </c>
      <c r="V48" s="592">
        <v>0</v>
      </c>
      <c r="W48" s="592">
        <v>0</v>
      </c>
      <c r="X48" s="592">
        <v>0</v>
      </c>
      <c r="Y48" s="592">
        <v>0</v>
      </c>
      <c r="Z48" s="592">
        <v>0</v>
      </c>
      <c r="AA48" s="592">
        <v>1651538.8302523</v>
      </c>
      <c r="AB48" s="592">
        <v>0</v>
      </c>
      <c r="AC48" s="592">
        <v>7425318.1090673404</v>
      </c>
      <c r="AD48" s="592">
        <v>0</v>
      </c>
      <c r="AE48" s="592">
        <v>3869003.2783432999</v>
      </c>
      <c r="AF48" s="592">
        <v>104825074.55660599</v>
      </c>
      <c r="AG48" s="592">
        <v>76286337.676893696</v>
      </c>
      <c r="AH48" s="592">
        <v>0</v>
      </c>
      <c r="AI48" s="592">
        <v>0</v>
      </c>
      <c r="AJ48" s="460">
        <v>0.10825222029625201</v>
      </c>
      <c r="AK48" s="460">
        <v>0</v>
      </c>
      <c r="AL48" s="460">
        <v>9.8250666640479004E-2</v>
      </c>
      <c r="AM48" s="460">
        <v>7.1930817584762899E-2</v>
      </c>
      <c r="AN48" s="460">
        <v>4.6389142565180203E-2</v>
      </c>
      <c r="AO48" s="460">
        <v>2.0069293509464101E-2</v>
      </c>
      <c r="AP48" s="460">
        <v>0.20445434098825299</v>
      </c>
      <c r="AQ48" s="460">
        <v>1.00015536557725E-2</v>
      </c>
      <c r="AR48" s="460">
        <v>3.63214027114886E-2</v>
      </c>
      <c r="AS48" s="460">
        <v>6.1863077731071303E-2</v>
      </c>
      <c r="AT48" s="460">
        <v>8.8182926786787394E-2</v>
      </c>
      <c r="AU48" s="460">
        <v>0</v>
      </c>
      <c r="AV48" s="460">
        <v>0</v>
      </c>
      <c r="AW48" s="460">
        <v>0</v>
      </c>
      <c r="AX48" s="460">
        <v>0</v>
      </c>
      <c r="AY48" s="460">
        <v>-9.6202120692001805E-2</v>
      </c>
      <c r="AZ48" s="460">
        <v>0</v>
      </c>
    </row>
    <row r="49" spans="1:52" x14ac:dyDescent="0.2">
      <c r="A49" s="588" t="s">
        <v>319</v>
      </c>
      <c r="B49" s="588" t="s">
        <v>233</v>
      </c>
      <c r="C49" s="588" t="s">
        <v>17</v>
      </c>
      <c r="D49" s="588">
        <v>450702.57623345102</v>
      </c>
      <c r="E49" s="588">
        <v>124.15319939370001</v>
      </c>
      <c r="F49" s="589">
        <v>0.237488205894828</v>
      </c>
      <c r="G49" s="589">
        <v>0.25174116026051402</v>
      </c>
      <c r="H49" s="588">
        <v>-6273.5309496506297</v>
      </c>
      <c r="I49" s="588">
        <v>303141.520282657</v>
      </c>
      <c r="J49" s="588">
        <v>1250032.5572566499</v>
      </c>
      <c r="K49" s="588">
        <v>1179258.84279628</v>
      </c>
      <c r="L49" s="460">
        <v>1120113.47632129</v>
      </c>
      <c r="M49" s="460">
        <v>63801.46716</v>
      </c>
      <c r="N49" s="460">
        <v>1183914.94348129</v>
      </c>
      <c r="O49" s="588">
        <v>60851.1697562798</v>
      </c>
      <c r="P49" s="588">
        <v>10370.8050087998</v>
      </c>
      <c r="Q49" s="588">
        <v>6204.49849411375</v>
      </c>
      <c r="R49" s="588">
        <v>832245.92445460998</v>
      </c>
      <c r="S49" s="592">
        <v>0</v>
      </c>
      <c r="T49" s="592">
        <v>0</v>
      </c>
      <c r="U49" s="592">
        <v>210441.07860748499</v>
      </c>
      <c r="V49" s="592">
        <v>0</v>
      </c>
      <c r="W49" s="592">
        <v>0</v>
      </c>
      <c r="X49" s="592">
        <v>0</v>
      </c>
      <c r="Y49" s="592">
        <v>0</v>
      </c>
      <c r="Z49" s="592">
        <v>0</v>
      </c>
      <c r="AA49" s="592">
        <v>63801.46716</v>
      </c>
      <c r="AB49" s="592">
        <v>0</v>
      </c>
      <c r="AC49" s="592">
        <v>174686.124885</v>
      </c>
      <c r="AD49" s="592">
        <v>0</v>
      </c>
      <c r="AE49" s="592">
        <v>67610.927339589907</v>
      </c>
      <c r="AF49" s="592">
        <v>3502345.96959768</v>
      </c>
      <c r="AG49" s="592">
        <v>2361721.82993596</v>
      </c>
      <c r="AH49" s="592">
        <v>-8514.9299597414192</v>
      </c>
      <c r="AI49" s="592">
        <v>-5670.6053586339403</v>
      </c>
      <c r="AJ49" s="460">
        <v>0.12835614950084001</v>
      </c>
      <c r="AK49" s="460">
        <v>1.1063247312914599</v>
      </c>
      <c r="AL49" s="460">
        <v>0.54047378486526898</v>
      </c>
      <c r="AM49" s="460">
        <v>5.6172822853074802E-2</v>
      </c>
      <c r="AN49" s="460">
        <v>0.50987351201532005</v>
      </c>
      <c r="AO49" s="460">
        <v>2.5572550003125701E-2</v>
      </c>
      <c r="AP49" s="460">
        <v>0.67045940093391598</v>
      </c>
      <c r="AQ49" s="460">
        <v>-0.41211763536442902</v>
      </c>
      <c r="AR49" s="460">
        <v>7.2183326647765195E-2</v>
      </c>
      <c r="AS49" s="460">
        <v>-0.38151736251447999</v>
      </c>
      <c r="AT49" s="460">
        <v>0.102783599497714</v>
      </c>
      <c r="AU49" s="460">
        <v>-3.5521159989458901</v>
      </c>
      <c r="AV49" s="460">
        <v>0.622161071112453</v>
      </c>
      <c r="AW49" s="460">
        <v>-3.2883667452496899</v>
      </c>
      <c r="AX49" s="460">
        <v>0.88591032480866005</v>
      </c>
      <c r="AY49" s="460">
        <v>-0.54210325143307603</v>
      </c>
      <c r="AZ49" s="460">
        <v>-4.6724853955672803</v>
      </c>
    </row>
    <row r="50" spans="1:52" x14ac:dyDescent="0.2">
      <c r="A50" s="588" t="s">
        <v>320</v>
      </c>
      <c r="B50" s="588" t="s">
        <v>233</v>
      </c>
      <c r="C50" s="588" t="s">
        <v>79</v>
      </c>
      <c r="D50" s="588">
        <v>0</v>
      </c>
      <c r="E50" s="588">
        <v>0</v>
      </c>
      <c r="F50" s="589">
        <v>0</v>
      </c>
      <c r="G50" s="589">
        <v>0</v>
      </c>
      <c r="H50" s="588">
        <v>0</v>
      </c>
      <c r="I50" s="588">
        <v>0</v>
      </c>
      <c r="J50" s="588">
        <v>359004.25856869802</v>
      </c>
      <c r="K50" s="588">
        <v>359004.25856869802</v>
      </c>
      <c r="L50" s="460">
        <v>359004.25856869802</v>
      </c>
      <c r="M50" s="460">
        <v>0</v>
      </c>
      <c r="N50" s="460">
        <v>359004.25856869802</v>
      </c>
      <c r="O50" s="588">
        <v>16735.953858738601</v>
      </c>
      <c r="P50" s="588">
        <v>34756.606476330096</v>
      </c>
      <c r="Q50" s="588">
        <v>0</v>
      </c>
      <c r="R50" s="588">
        <v>307511.69823362998</v>
      </c>
      <c r="S50" s="592">
        <v>0</v>
      </c>
      <c r="T50" s="592">
        <v>0</v>
      </c>
      <c r="U50" s="592">
        <v>0</v>
      </c>
      <c r="V50" s="592">
        <v>0</v>
      </c>
      <c r="W50" s="592">
        <v>0</v>
      </c>
      <c r="X50" s="592">
        <v>0</v>
      </c>
      <c r="Y50" s="592">
        <v>0</v>
      </c>
      <c r="Z50" s="592">
        <v>0</v>
      </c>
      <c r="AA50" s="592">
        <v>0</v>
      </c>
      <c r="AB50" s="592">
        <v>0</v>
      </c>
      <c r="AC50" s="592">
        <v>0</v>
      </c>
      <c r="AD50" s="592">
        <v>0</v>
      </c>
      <c r="AE50" s="592">
        <v>0</v>
      </c>
      <c r="AF50" s="592">
        <v>0</v>
      </c>
      <c r="AG50" s="592">
        <v>0</v>
      </c>
      <c r="AH50" s="592">
        <v>0</v>
      </c>
      <c r="AI50" s="592">
        <v>0</v>
      </c>
      <c r="AJ50" s="460">
        <v>0</v>
      </c>
      <c r="AK50" s="460">
        <v>0</v>
      </c>
      <c r="AL50" s="460">
        <v>0</v>
      </c>
      <c r="AM50" s="460">
        <v>0</v>
      </c>
      <c r="AN50" s="460">
        <v>0</v>
      </c>
      <c r="AO50" s="460">
        <v>0</v>
      </c>
      <c r="AP50" s="460">
        <v>0</v>
      </c>
      <c r="AQ50" s="460">
        <v>0</v>
      </c>
      <c r="AR50" s="460">
        <v>0</v>
      </c>
      <c r="AS50" s="460">
        <v>0</v>
      </c>
      <c r="AT50" s="460">
        <v>0</v>
      </c>
      <c r="AU50" s="460">
        <v>0</v>
      </c>
      <c r="AV50" s="460">
        <v>0</v>
      </c>
      <c r="AW50" s="460">
        <v>0</v>
      </c>
      <c r="AX50" s="460">
        <v>0</v>
      </c>
      <c r="AY50" s="460">
        <v>0</v>
      </c>
      <c r="AZ50" s="460">
        <v>0</v>
      </c>
    </row>
    <row r="51" spans="1:52" x14ac:dyDescent="0.2">
      <c r="A51" s="588" t="s">
        <v>324</v>
      </c>
      <c r="B51" s="588" t="s">
        <v>230</v>
      </c>
      <c r="C51" s="588" t="s">
        <v>80</v>
      </c>
      <c r="D51" s="588">
        <v>0</v>
      </c>
      <c r="E51" s="588">
        <v>0</v>
      </c>
      <c r="F51" s="589">
        <v>0</v>
      </c>
      <c r="G51" s="589">
        <v>0</v>
      </c>
      <c r="H51" s="588">
        <v>0</v>
      </c>
      <c r="I51" s="588">
        <v>0</v>
      </c>
      <c r="J51" s="588">
        <v>2014181.3946281101</v>
      </c>
      <c r="K51" s="588">
        <v>2014181.3946281101</v>
      </c>
      <c r="L51" s="460">
        <v>2014181.3946281101</v>
      </c>
      <c r="M51" s="460">
        <v>0</v>
      </c>
      <c r="N51" s="460">
        <v>2014181.3946281101</v>
      </c>
      <c r="O51" s="588">
        <v>98794.165666527595</v>
      </c>
      <c r="P51" s="588">
        <v>42134.004798705901</v>
      </c>
      <c r="Q51" s="588">
        <v>0</v>
      </c>
      <c r="R51" s="588">
        <v>1873253.2241628801</v>
      </c>
      <c r="S51" s="592">
        <v>0</v>
      </c>
      <c r="T51" s="592">
        <v>0</v>
      </c>
      <c r="U51" s="592">
        <v>0</v>
      </c>
      <c r="V51" s="592">
        <v>0</v>
      </c>
      <c r="W51" s="592">
        <v>0</v>
      </c>
      <c r="X51" s="592">
        <v>0</v>
      </c>
      <c r="Y51" s="592">
        <v>0</v>
      </c>
      <c r="Z51" s="592">
        <v>0</v>
      </c>
      <c r="AA51" s="592">
        <v>0</v>
      </c>
      <c r="AB51" s="592">
        <v>0</v>
      </c>
      <c r="AC51" s="592">
        <v>0</v>
      </c>
      <c r="AD51" s="592">
        <v>0</v>
      </c>
      <c r="AE51" s="592">
        <v>0</v>
      </c>
      <c r="AF51" s="592">
        <v>0</v>
      </c>
      <c r="AG51" s="592">
        <v>0</v>
      </c>
      <c r="AH51" s="592">
        <v>0</v>
      </c>
      <c r="AI51" s="592">
        <v>0</v>
      </c>
      <c r="AJ51" s="460">
        <v>0</v>
      </c>
      <c r="AK51" s="460">
        <v>0</v>
      </c>
      <c r="AL51" s="460">
        <v>0</v>
      </c>
      <c r="AM51" s="460">
        <v>0</v>
      </c>
      <c r="AN51" s="460">
        <v>0</v>
      </c>
      <c r="AO51" s="460">
        <v>0</v>
      </c>
      <c r="AP51" s="460">
        <v>0</v>
      </c>
      <c r="AQ51" s="460">
        <v>0</v>
      </c>
      <c r="AR51" s="460">
        <v>0</v>
      </c>
      <c r="AS51" s="460">
        <v>0</v>
      </c>
      <c r="AT51" s="460">
        <v>0</v>
      </c>
      <c r="AU51" s="460">
        <v>0</v>
      </c>
      <c r="AV51" s="460">
        <v>0</v>
      </c>
      <c r="AW51" s="460">
        <v>0</v>
      </c>
      <c r="AX51" s="460">
        <v>0</v>
      </c>
      <c r="AY51" s="460">
        <v>0</v>
      </c>
      <c r="AZ51" s="460">
        <v>0</v>
      </c>
    </row>
    <row r="52" spans="1:52" x14ac:dyDescent="0.2">
      <c r="A52" s="588" t="s">
        <v>325</v>
      </c>
      <c r="B52" s="588" t="s">
        <v>230</v>
      </c>
      <c r="C52" s="588" t="s">
        <v>18</v>
      </c>
      <c r="D52" s="588">
        <v>2121838.1059714099</v>
      </c>
      <c r="E52" s="588">
        <v>489.822518708649</v>
      </c>
      <c r="F52" s="589">
        <v>0.44627731962239903</v>
      </c>
      <c r="G52" s="589">
        <v>0.624384970371202</v>
      </c>
      <c r="H52" s="588">
        <v>0</v>
      </c>
      <c r="I52" s="588">
        <v>575009.11238021695</v>
      </c>
      <c r="J52" s="588">
        <v>1288456.9461579199</v>
      </c>
      <c r="K52" s="588">
        <v>920920.80954217899</v>
      </c>
      <c r="L52" s="460">
        <v>672060.19999381795</v>
      </c>
      <c r="M52" s="460">
        <v>268451.66331383702</v>
      </c>
      <c r="N52" s="460">
        <v>940511.86330765497</v>
      </c>
      <c r="O52" s="588">
        <v>53322.348303547697</v>
      </c>
      <c r="P52" s="588">
        <v>18899.7542158289</v>
      </c>
      <c r="Q52" s="588">
        <v>7740.8817381131803</v>
      </c>
      <c r="R52" s="588">
        <v>572466.18145857402</v>
      </c>
      <c r="S52" s="592">
        <v>0</v>
      </c>
      <c r="T52" s="592">
        <v>0</v>
      </c>
      <c r="U52" s="592">
        <v>19631.034277754199</v>
      </c>
      <c r="V52" s="592">
        <v>0</v>
      </c>
      <c r="W52" s="592">
        <v>0</v>
      </c>
      <c r="X52" s="592">
        <v>0</v>
      </c>
      <c r="Y52" s="592">
        <v>0</v>
      </c>
      <c r="Z52" s="592">
        <v>0</v>
      </c>
      <c r="AA52" s="592">
        <v>268451.66331383702</v>
      </c>
      <c r="AB52" s="592">
        <v>0</v>
      </c>
      <c r="AC52" s="592">
        <v>857754.87359501305</v>
      </c>
      <c r="AD52" s="592">
        <v>0</v>
      </c>
      <c r="AE52" s="592">
        <v>353581.94021878898</v>
      </c>
      <c r="AF52" s="592">
        <v>8420438.3265926894</v>
      </c>
      <c r="AG52" s="592">
        <v>5924183.35003387</v>
      </c>
      <c r="AH52" s="592">
        <v>0</v>
      </c>
      <c r="AI52" s="592">
        <v>0</v>
      </c>
      <c r="AJ52" s="460">
        <v>9.7061329537839205E-2</v>
      </c>
      <c r="AK52" s="460">
        <v>0</v>
      </c>
      <c r="AL52" s="460">
        <v>0.217491065017519</v>
      </c>
      <c r="AM52" s="460">
        <v>0.104047547103784</v>
      </c>
      <c r="AN52" s="460">
        <v>0.15545109851080399</v>
      </c>
      <c r="AO52" s="460">
        <v>4.2007580597068897E-2</v>
      </c>
      <c r="AP52" s="460">
        <v>0.30916912438614003</v>
      </c>
      <c r="AQ52" s="460">
        <v>-0.12042973547968</v>
      </c>
      <c r="AR52" s="460">
        <v>-6.9862175659445901E-3</v>
      </c>
      <c r="AS52" s="460">
        <v>-5.8389768972964801E-2</v>
      </c>
      <c r="AT52" s="460">
        <v>5.5053748940770197E-2</v>
      </c>
      <c r="AU52" s="460">
        <v>0</v>
      </c>
      <c r="AV52" s="460">
        <v>0</v>
      </c>
      <c r="AW52" s="460">
        <v>0</v>
      </c>
      <c r="AX52" s="460">
        <v>0</v>
      </c>
      <c r="AY52" s="460">
        <v>-0.212107794848301</v>
      </c>
      <c r="AZ52" s="460">
        <v>0</v>
      </c>
    </row>
    <row r="53" spans="1:52" x14ac:dyDescent="0.2">
      <c r="A53" s="588" t="s">
        <v>326</v>
      </c>
      <c r="B53" s="588" t="s">
        <v>230</v>
      </c>
      <c r="C53" s="588" t="s">
        <v>19</v>
      </c>
      <c r="D53" s="588">
        <v>0</v>
      </c>
      <c r="E53" s="588">
        <v>0</v>
      </c>
      <c r="F53" s="589">
        <v>0</v>
      </c>
      <c r="G53" s="589">
        <v>0</v>
      </c>
      <c r="H53" s="588">
        <v>0</v>
      </c>
      <c r="I53" s="588">
        <v>0</v>
      </c>
      <c r="J53" s="588">
        <v>219338.690302426</v>
      </c>
      <c r="K53" s="588">
        <v>219338.690302426</v>
      </c>
      <c r="L53" s="460">
        <v>219338.690302426</v>
      </c>
      <c r="M53" s="460">
        <v>0</v>
      </c>
      <c r="N53" s="460">
        <v>219338.690302426</v>
      </c>
      <c r="O53" s="588">
        <v>10204.999875400499</v>
      </c>
      <c r="P53" s="588">
        <v>8378.52624796093</v>
      </c>
      <c r="Q53" s="588">
        <v>10033.218874009901</v>
      </c>
      <c r="R53" s="588">
        <v>152441.430960319</v>
      </c>
      <c r="S53" s="592">
        <v>0</v>
      </c>
      <c r="T53" s="592">
        <v>0</v>
      </c>
      <c r="U53" s="592">
        <v>38280.514344735202</v>
      </c>
      <c r="V53" s="592">
        <v>0</v>
      </c>
      <c r="W53" s="592">
        <v>0</v>
      </c>
      <c r="X53" s="592">
        <v>0</v>
      </c>
      <c r="Y53" s="592">
        <v>0</v>
      </c>
      <c r="Z53" s="592">
        <v>0</v>
      </c>
      <c r="AA53" s="592">
        <v>0</v>
      </c>
      <c r="AB53" s="592">
        <v>0</v>
      </c>
      <c r="AC53" s="592">
        <v>0</v>
      </c>
      <c r="AD53" s="592">
        <v>0</v>
      </c>
      <c r="AE53" s="592">
        <v>0</v>
      </c>
      <c r="AF53" s="592">
        <v>0</v>
      </c>
      <c r="AG53" s="592">
        <v>0</v>
      </c>
      <c r="AH53" s="592">
        <v>0</v>
      </c>
      <c r="AI53" s="592">
        <v>0</v>
      </c>
      <c r="AJ53" s="460">
        <v>0</v>
      </c>
      <c r="AK53" s="460">
        <v>0</v>
      </c>
      <c r="AL53" s="460">
        <v>0</v>
      </c>
      <c r="AM53" s="460">
        <v>0</v>
      </c>
      <c r="AN53" s="460">
        <v>0</v>
      </c>
      <c r="AO53" s="460">
        <v>0</v>
      </c>
      <c r="AP53" s="460">
        <v>0</v>
      </c>
      <c r="AQ53" s="460">
        <v>0</v>
      </c>
      <c r="AR53" s="460">
        <v>0</v>
      </c>
      <c r="AS53" s="460">
        <v>0</v>
      </c>
      <c r="AT53" s="460">
        <v>0</v>
      </c>
      <c r="AU53" s="460">
        <v>0</v>
      </c>
      <c r="AV53" s="460">
        <v>0</v>
      </c>
      <c r="AW53" s="460">
        <v>0</v>
      </c>
      <c r="AX53" s="460">
        <v>0</v>
      </c>
      <c r="AY53" s="460">
        <v>0</v>
      </c>
      <c r="AZ53" s="460">
        <v>0</v>
      </c>
    </row>
    <row r="54" spans="1:52" x14ac:dyDescent="0.2">
      <c r="A54" s="588" t="s">
        <v>327</v>
      </c>
      <c r="B54" s="588" t="s">
        <v>230</v>
      </c>
      <c r="C54" s="588" t="s">
        <v>81</v>
      </c>
      <c r="D54" s="588">
        <v>0</v>
      </c>
      <c r="E54" s="588">
        <v>0</v>
      </c>
      <c r="F54" s="589">
        <v>0</v>
      </c>
      <c r="G54" s="589">
        <v>0</v>
      </c>
      <c r="H54" s="588">
        <v>0</v>
      </c>
      <c r="I54" s="588">
        <v>0</v>
      </c>
      <c r="J54" s="588">
        <v>70900.516418190295</v>
      </c>
      <c r="K54" s="588">
        <v>70900.516418190295</v>
      </c>
      <c r="L54" s="460">
        <v>70900.516418190295</v>
      </c>
      <c r="M54" s="460">
        <v>0</v>
      </c>
      <c r="N54" s="460">
        <v>70900.516418190295</v>
      </c>
      <c r="O54" s="588">
        <v>3305.2192084470898</v>
      </c>
      <c r="P54" s="588">
        <v>24914.660571329099</v>
      </c>
      <c r="Q54" s="588">
        <v>0</v>
      </c>
      <c r="R54" s="588">
        <v>42680.6366384141</v>
      </c>
      <c r="S54" s="592">
        <v>0</v>
      </c>
      <c r="T54" s="592">
        <v>0</v>
      </c>
      <c r="U54" s="592">
        <v>0</v>
      </c>
      <c r="V54" s="592">
        <v>0</v>
      </c>
      <c r="W54" s="592">
        <v>0</v>
      </c>
      <c r="X54" s="592">
        <v>0</v>
      </c>
      <c r="Y54" s="592">
        <v>0</v>
      </c>
      <c r="Z54" s="592">
        <v>0</v>
      </c>
      <c r="AA54" s="592">
        <v>0</v>
      </c>
      <c r="AB54" s="592">
        <v>0</v>
      </c>
      <c r="AC54" s="592">
        <v>0</v>
      </c>
      <c r="AD54" s="592">
        <v>0</v>
      </c>
      <c r="AE54" s="592">
        <v>0</v>
      </c>
      <c r="AF54" s="592">
        <v>0</v>
      </c>
      <c r="AG54" s="592">
        <v>0</v>
      </c>
      <c r="AH54" s="592">
        <v>0</v>
      </c>
      <c r="AI54" s="592">
        <v>0</v>
      </c>
      <c r="AJ54" s="460">
        <v>0</v>
      </c>
      <c r="AK54" s="460">
        <v>0</v>
      </c>
      <c r="AL54" s="460">
        <v>0</v>
      </c>
      <c r="AM54" s="460">
        <v>0</v>
      </c>
      <c r="AN54" s="460">
        <v>0</v>
      </c>
      <c r="AO54" s="460">
        <v>0</v>
      </c>
      <c r="AP54" s="460">
        <v>0</v>
      </c>
      <c r="AQ54" s="460">
        <v>0</v>
      </c>
      <c r="AR54" s="460">
        <v>0</v>
      </c>
      <c r="AS54" s="460">
        <v>0</v>
      </c>
      <c r="AT54" s="460">
        <v>0</v>
      </c>
      <c r="AU54" s="460">
        <v>0</v>
      </c>
      <c r="AV54" s="460">
        <v>0</v>
      </c>
      <c r="AW54" s="460">
        <v>0</v>
      </c>
      <c r="AX54" s="460">
        <v>0</v>
      </c>
      <c r="AY54" s="460">
        <v>0</v>
      </c>
      <c r="AZ54" s="460">
        <v>0</v>
      </c>
    </row>
    <row r="55" spans="1:52" x14ac:dyDescent="0.2">
      <c r="A55" s="588" t="s">
        <v>332</v>
      </c>
      <c r="B55" s="588" t="s">
        <v>228</v>
      </c>
      <c r="C55" s="588" t="s">
        <v>71</v>
      </c>
      <c r="D55" s="588">
        <v>0</v>
      </c>
      <c r="E55" s="588">
        <v>0</v>
      </c>
      <c r="F55" s="589">
        <v>0</v>
      </c>
      <c r="G55" s="589">
        <v>0</v>
      </c>
      <c r="H55" s="588">
        <v>0</v>
      </c>
      <c r="I55" s="588">
        <v>0</v>
      </c>
      <c r="J55" s="588">
        <v>78588.963313298693</v>
      </c>
      <c r="K55" s="588">
        <v>78588.963313298693</v>
      </c>
      <c r="L55" s="460">
        <v>78588.963313298693</v>
      </c>
      <c r="M55" s="460">
        <v>0</v>
      </c>
      <c r="N55" s="460">
        <v>78588.963313298693</v>
      </c>
      <c r="O55" s="588">
        <v>3452.6475439157698</v>
      </c>
      <c r="P55" s="588">
        <v>75136.315769382898</v>
      </c>
      <c r="Q55" s="588">
        <v>0</v>
      </c>
      <c r="R55" s="588">
        <v>0</v>
      </c>
      <c r="S55" s="592">
        <v>0</v>
      </c>
      <c r="T55" s="592">
        <v>0</v>
      </c>
      <c r="U55" s="592">
        <v>0</v>
      </c>
      <c r="V55" s="592">
        <v>0</v>
      </c>
      <c r="W55" s="592">
        <v>0</v>
      </c>
      <c r="X55" s="592">
        <v>0</v>
      </c>
      <c r="Y55" s="592">
        <v>0</v>
      </c>
      <c r="Z55" s="592">
        <v>0</v>
      </c>
      <c r="AA55" s="592">
        <v>0</v>
      </c>
      <c r="AB55" s="592">
        <v>0</v>
      </c>
      <c r="AC55" s="592">
        <v>0</v>
      </c>
      <c r="AD55" s="592">
        <v>0</v>
      </c>
      <c r="AE55" s="592">
        <v>0</v>
      </c>
      <c r="AF55" s="592">
        <v>0</v>
      </c>
      <c r="AG55" s="592">
        <v>0</v>
      </c>
      <c r="AH55" s="592">
        <v>0</v>
      </c>
      <c r="AI55" s="592">
        <v>0</v>
      </c>
      <c r="AJ55" s="460">
        <v>0</v>
      </c>
      <c r="AK55" s="460">
        <v>0</v>
      </c>
      <c r="AL55" s="460">
        <v>0</v>
      </c>
      <c r="AM55" s="460">
        <v>0</v>
      </c>
      <c r="AN55" s="460">
        <v>0</v>
      </c>
      <c r="AO55" s="460">
        <v>0</v>
      </c>
      <c r="AP55" s="460">
        <v>0</v>
      </c>
      <c r="AQ55" s="460">
        <v>0</v>
      </c>
      <c r="AR55" s="460">
        <v>0</v>
      </c>
      <c r="AS55" s="460">
        <v>0</v>
      </c>
      <c r="AT55" s="460">
        <v>0</v>
      </c>
      <c r="AU55" s="460">
        <v>0</v>
      </c>
      <c r="AV55" s="460">
        <v>0</v>
      </c>
      <c r="AW55" s="460">
        <v>0</v>
      </c>
      <c r="AX55" s="460">
        <v>0</v>
      </c>
      <c r="AY55" s="460">
        <v>0</v>
      </c>
      <c r="AZ55" s="460">
        <v>0</v>
      </c>
    </row>
    <row r="56" spans="1:52" x14ac:dyDescent="0.2">
      <c r="A56" s="588" t="s">
        <v>335</v>
      </c>
      <c r="B56" s="588" t="s">
        <v>228</v>
      </c>
      <c r="C56" s="588" t="s">
        <v>5</v>
      </c>
      <c r="D56" s="588">
        <v>0</v>
      </c>
      <c r="E56" s="588">
        <v>0</v>
      </c>
      <c r="F56" s="589">
        <v>0</v>
      </c>
      <c r="G56" s="589">
        <v>0</v>
      </c>
      <c r="H56" s="588">
        <v>0</v>
      </c>
      <c r="I56" s="588">
        <v>0</v>
      </c>
      <c r="J56" s="588">
        <v>1050599.9999995199</v>
      </c>
      <c r="K56" s="588">
        <v>1050599.9999995199</v>
      </c>
      <c r="L56" s="460">
        <v>1050599.9999995199</v>
      </c>
      <c r="M56" s="460">
        <v>0</v>
      </c>
      <c r="N56" s="460">
        <v>1050599.9999995199</v>
      </c>
      <c r="O56" s="588">
        <v>0</v>
      </c>
      <c r="P56" s="588">
        <v>0</v>
      </c>
      <c r="Q56" s="588">
        <v>0</v>
      </c>
      <c r="R56" s="588">
        <v>1050599.9999995199</v>
      </c>
      <c r="S56" s="592">
        <v>0</v>
      </c>
      <c r="T56" s="592">
        <v>0</v>
      </c>
      <c r="U56" s="592">
        <v>0</v>
      </c>
      <c r="V56" s="592">
        <v>0</v>
      </c>
      <c r="W56" s="592">
        <v>0</v>
      </c>
      <c r="X56" s="592">
        <v>0</v>
      </c>
      <c r="Y56" s="592">
        <v>0</v>
      </c>
      <c r="Z56" s="592">
        <v>0</v>
      </c>
      <c r="AA56" s="592">
        <v>0</v>
      </c>
      <c r="AB56" s="592">
        <v>0</v>
      </c>
      <c r="AC56" s="592">
        <v>0</v>
      </c>
      <c r="AD56" s="592">
        <v>0</v>
      </c>
      <c r="AE56" s="592">
        <v>0</v>
      </c>
      <c r="AF56" s="592">
        <v>0</v>
      </c>
      <c r="AG56" s="592">
        <v>0</v>
      </c>
      <c r="AH56" s="592">
        <v>0</v>
      </c>
      <c r="AI56" s="592">
        <v>0</v>
      </c>
      <c r="AJ56" s="460">
        <v>0</v>
      </c>
      <c r="AK56" s="460">
        <v>0</v>
      </c>
      <c r="AL56" s="460">
        <v>0</v>
      </c>
      <c r="AM56" s="460">
        <v>0</v>
      </c>
      <c r="AN56" s="460">
        <v>0</v>
      </c>
      <c r="AO56" s="460">
        <v>0</v>
      </c>
      <c r="AP56" s="460">
        <v>0</v>
      </c>
      <c r="AQ56" s="460">
        <v>0</v>
      </c>
      <c r="AR56" s="460">
        <v>0</v>
      </c>
      <c r="AS56" s="460">
        <v>0</v>
      </c>
      <c r="AT56" s="460">
        <v>0</v>
      </c>
      <c r="AU56" s="460">
        <v>0</v>
      </c>
      <c r="AV56" s="460">
        <v>0</v>
      </c>
      <c r="AW56" s="460">
        <v>0</v>
      </c>
      <c r="AX56" s="460">
        <v>0</v>
      </c>
      <c r="AY56" s="460">
        <v>0</v>
      </c>
      <c r="AZ56" s="460">
        <v>0</v>
      </c>
    </row>
    <row r="57" spans="1:52" x14ac:dyDescent="0.2">
      <c r="A57" s="588" t="s">
        <v>336</v>
      </c>
      <c r="B57" s="588" t="s">
        <v>229</v>
      </c>
      <c r="C57" s="588" t="s">
        <v>93</v>
      </c>
      <c r="D57" s="588">
        <v>0</v>
      </c>
      <c r="E57" s="588">
        <v>0</v>
      </c>
      <c r="F57" s="589">
        <v>0</v>
      </c>
      <c r="G57" s="589">
        <v>0</v>
      </c>
      <c r="H57" s="588">
        <v>0</v>
      </c>
      <c r="I57" s="588">
        <v>0</v>
      </c>
      <c r="J57" s="588">
        <v>151738.44721771701</v>
      </c>
      <c r="K57" s="588">
        <v>151738.44721771701</v>
      </c>
      <c r="L57" s="460">
        <v>151738.44721771701</v>
      </c>
      <c r="M57" s="460">
        <v>0</v>
      </c>
      <c r="N57" s="460">
        <v>151738.44721771701</v>
      </c>
      <c r="O57" s="588">
        <v>5746.1197496475897</v>
      </c>
      <c r="P57" s="588">
        <v>0</v>
      </c>
      <c r="Q57" s="588">
        <v>0</v>
      </c>
      <c r="R57" s="588">
        <v>145992.32746806901</v>
      </c>
      <c r="S57" s="592">
        <v>0</v>
      </c>
      <c r="T57" s="592">
        <v>0</v>
      </c>
      <c r="U57" s="592">
        <v>0</v>
      </c>
      <c r="V57" s="592">
        <v>0</v>
      </c>
      <c r="W57" s="592">
        <v>0</v>
      </c>
      <c r="X57" s="592">
        <v>0</v>
      </c>
      <c r="Y57" s="592">
        <v>0</v>
      </c>
      <c r="Z57" s="592">
        <v>0</v>
      </c>
      <c r="AA57" s="592">
        <v>0</v>
      </c>
      <c r="AB57" s="592">
        <v>0</v>
      </c>
      <c r="AC57" s="592">
        <v>0</v>
      </c>
      <c r="AD57" s="592">
        <v>0</v>
      </c>
      <c r="AE57" s="592">
        <v>0</v>
      </c>
      <c r="AF57" s="592">
        <v>0</v>
      </c>
      <c r="AG57" s="592">
        <v>0</v>
      </c>
      <c r="AH57" s="592">
        <v>0</v>
      </c>
      <c r="AI57" s="592">
        <v>0</v>
      </c>
      <c r="AJ57" s="460">
        <v>0</v>
      </c>
      <c r="AK57" s="460">
        <v>0</v>
      </c>
      <c r="AL57" s="460">
        <v>0</v>
      </c>
      <c r="AM57" s="460">
        <v>0</v>
      </c>
      <c r="AN57" s="460">
        <v>0</v>
      </c>
      <c r="AO57" s="460">
        <v>0</v>
      </c>
      <c r="AP57" s="460">
        <v>0</v>
      </c>
      <c r="AQ57" s="460">
        <v>0</v>
      </c>
      <c r="AR57" s="460">
        <v>0</v>
      </c>
      <c r="AS57" s="460">
        <v>0</v>
      </c>
      <c r="AT57" s="460">
        <v>0</v>
      </c>
      <c r="AU57" s="460">
        <v>0</v>
      </c>
      <c r="AV57" s="460">
        <v>0</v>
      </c>
      <c r="AW57" s="460">
        <v>0</v>
      </c>
      <c r="AX57" s="460">
        <v>0</v>
      </c>
      <c r="AY57" s="460">
        <v>0</v>
      </c>
      <c r="AZ57" s="460">
        <v>0</v>
      </c>
    </row>
    <row r="58" spans="1:52" x14ac:dyDescent="0.2">
      <c r="A58" s="588" t="s">
        <v>341</v>
      </c>
      <c r="B58" s="588" t="s">
        <v>229</v>
      </c>
      <c r="C58" s="588" t="s">
        <v>82</v>
      </c>
      <c r="D58" s="588">
        <v>0</v>
      </c>
      <c r="E58" s="588">
        <v>0</v>
      </c>
      <c r="F58" s="589">
        <v>0</v>
      </c>
      <c r="G58" s="589">
        <v>0</v>
      </c>
      <c r="H58" s="588">
        <v>0</v>
      </c>
      <c r="I58" s="588">
        <v>0</v>
      </c>
      <c r="J58" s="588">
        <v>1569841.1230898199</v>
      </c>
      <c r="K58" s="588">
        <v>1569841.1230898199</v>
      </c>
      <c r="L58" s="460">
        <v>1569841.1230898199</v>
      </c>
      <c r="M58" s="460">
        <v>0</v>
      </c>
      <c r="N58" s="460">
        <v>1569841.1230898199</v>
      </c>
      <c r="O58" s="588">
        <v>68632.760175723699</v>
      </c>
      <c r="P58" s="588">
        <v>113039.019371355</v>
      </c>
      <c r="Q58" s="588">
        <v>47078.279255515103</v>
      </c>
      <c r="R58" s="588">
        <v>818638.49877349602</v>
      </c>
      <c r="S58" s="592">
        <v>0</v>
      </c>
      <c r="T58" s="592">
        <v>0</v>
      </c>
      <c r="U58" s="592">
        <v>522452.56551373302</v>
      </c>
      <c r="V58" s="592">
        <v>0</v>
      </c>
      <c r="W58" s="592">
        <v>0</v>
      </c>
      <c r="X58" s="592">
        <v>0</v>
      </c>
      <c r="Y58" s="592">
        <v>0</v>
      </c>
      <c r="Z58" s="592">
        <v>0</v>
      </c>
      <c r="AA58" s="592">
        <v>0</v>
      </c>
      <c r="AB58" s="592">
        <v>0</v>
      </c>
      <c r="AC58" s="592">
        <v>0</v>
      </c>
      <c r="AD58" s="592">
        <v>0</v>
      </c>
      <c r="AE58" s="592">
        <v>0</v>
      </c>
      <c r="AF58" s="592">
        <v>0</v>
      </c>
      <c r="AG58" s="592">
        <v>0</v>
      </c>
      <c r="AH58" s="592">
        <v>0</v>
      </c>
      <c r="AI58" s="592">
        <v>0</v>
      </c>
      <c r="AJ58" s="460">
        <v>0</v>
      </c>
      <c r="AK58" s="460">
        <v>0</v>
      </c>
      <c r="AL58" s="460">
        <v>0</v>
      </c>
      <c r="AM58" s="460">
        <v>0</v>
      </c>
      <c r="AN58" s="460">
        <v>0</v>
      </c>
      <c r="AO58" s="460">
        <v>0</v>
      </c>
      <c r="AP58" s="460">
        <v>0</v>
      </c>
      <c r="AQ58" s="460">
        <v>0</v>
      </c>
      <c r="AR58" s="460">
        <v>0</v>
      </c>
      <c r="AS58" s="460">
        <v>0</v>
      </c>
      <c r="AT58" s="460">
        <v>0</v>
      </c>
      <c r="AU58" s="460">
        <v>0</v>
      </c>
      <c r="AV58" s="460">
        <v>0</v>
      </c>
      <c r="AW58" s="460">
        <v>0</v>
      </c>
      <c r="AX58" s="460">
        <v>0</v>
      </c>
      <c r="AY58" s="460">
        <v>0</v>
      </c>
      <c r="AZ58" s="460">
        <v>0</v>
      </c>
    </row>
    <row r="59" spans="1:52" x14ac:dyDescent="0.2">
      <c r="A59" s="588" t="s">
        <v>347</v>
      </c>
      <c r="B59" s="588" t="s">
        <v>223</v>
      </c>
      <c r="C59" s="588" t="s">
        <v>348</v>
      </c>
      <c r="D59" s="588">
        <v>0</v>
      </c>
      <c r="E59" s="588">
        <v>0</v>
      </c>
      <c r="F59" s="589">
        <v>0</v>
      </c>
      <c r="G59" s="589">
        <v>0</v>
      </c>
      <c r="H59" s="588">
        <v>0</v>
      </c>
      <c r="I59" s="588">
        <v>0</v>
      </c>
      <c r="J59" s="588">
        <v>1730502.3499749601</v>
      </c>
      <c r="K59" s="588">
        <v>1730502.3499749601</v>
      </c>
      <c r="L59" s="460">
        <v>1730502.3499749601</v>
      </c>
      <c r="M59" s="460">
        <v>0</v>
      </c>
      <c r="N59" s="460">
        <v>1730502.3499749601</v>
      </c>
      <c r="O59" s="588">
        <v>69980.480439252904</v>
      </c>
      <c r="P59" s="588">
        <v>85632.999105543</v>
      </c>
      <c r="Q59" s="588">
        <v>0</v>
      </c>
      <c r="R59" s="588">
        <v>1574888.8704301701</v>
      </c>
      <c r="S59" s="592">
        <v>0</v>
      </c>
      <c r="T59" s="592">
        <v>0</v>
      </c>
      <c r="U59" s="592">
        <v>0</v>
      </c>
      <c r="V59" s="592">
        <v>0</v>
      </c>
      <c r="W59" s="592">
        <v>0</v>
      </c>
      <c r="X59" s="592">
        <v>0</v>
      </c>
      <c r="Y59" s="592">
        <v>0</v>
      </c>
      <c r="Z59" s="592">
        <v>0</v>
      </c>
      <c r="AA59" s="592">
        <v>0</v>
      </c>
      <c r="AB59" s="592">
        <v>0</v>
      </c>
      <c r="AC59" s="592">
        <v>0</v>
      </c>
      <c r="AD59" s="592">
        <v>0</v>
      </c>
      <c r="AE59" s="592">
        <v>0</v>
      </c>
      <c r="AF59" s="592">
        <v>0</v>
      </c>
      <c r="AG59" s="592">
        <v>0</v>
      </c>
      <c r="AH59" s="592">
        <v>0</v>
      </c>
      <c r="AI59" s="592">
        <v>0</v>
      </c>
      <c r="AJ59" s="460">
        <v>0</v>
      </c>
      <c r="AK59" s="460">
        <v>0</v>
      </c>
      <c r="AL59" s="460">
        <v>0</v>
      </c>
      <c r="AM59" s="460">
        <v>0</v>
      </c>
      <c r="AN59" s="460">
        <v>0</v>
      </c>
      <c r="AO59" s="460">
        <v>0</v>
      </c>
      <c r="AP59" s="460">
        <v>0</v>
      </c>
      <c r="AQ59" s="460">
        <v>0</v>
      </c>
      <c r="AR59" s="460">
        <v>0</v>
      </c>
      <c r="AS59" s="460">
        <v>0</v>
      </c>
      <c r="AT59" s="460">
        <v>0</v>
      </c>
      <c r="AU59" s="460">
        <v>0</v>
      </c>
      <c r="AV59" s="460">
        <v>0</v>
      </c>
      <c r="AW59" s="460">
        <v>0</v>
      </c>
      <c r="AX59" s="460">
        <v>0</v>
      </c>
      <c r="AY59" s="460">
        <v>0</v>
      </c>
      <c r="AZ59" s="460">
        <v>0</v>
      </c>
    </row>
    <row r="60" spans="1:52" x14ac:dyDescent="0.2">
      <c r="A60" s="588" t="s">
        <v>349</v>
      </c>
      <c r="B60" s="588" t="s">
        <v>223</v>
      </c>
      <c r="C60" s="588" t="s">
        <v>350</v>
      </c>
      <c r="D60" s="588">
        <v>0</v>
      </c>
      <c r="E60" s="588">
        <v>0</v>
      </c>
      <c r="F60" s="589">
        <v>0</v>
      </c>
      <c r="G60" s="589">
        <v>0</v>
      </c>
      <c r="H60" s="588">
        <v>0</v>
      </c>
      <c r="I60" s="588">
        <v>0</v>
      </c>
      <c r="J60" s="588">
        <v>1730502.34997669</v>
      </c>
      <c r="K60" s="588">
        <v>1730502.34997669</v>
      </c>
      <c r="L60" s="460">
        <v>1730502.34997669</v>
      </c>
      <c r="M60" s="460">
        <v>0</v>
      </c>
      <c r="N60" s="460">
        <v>1730502.34997669</v>
      </c>
      <c r="O60" s="588">
        <v>69980.480439322797</v>
      </c>
      <c r="P60" s="588">
        <v>85632.999105628303</v>
      </c>
      <c r="Q60" s="588">
        <v>0</v>
      </c>
      <c r="R60" s="588">
        <v>1574888.8704317401</v>
      </c>
      <c r="S60" s="592">
        <v>0</v>
      </c>
      <c r="T60" s="592">
        <v>0</v>
      </c>
      <c r="U60" s="592">
        <v>0</v>
      </c>
      <c r="V60" s="592">
        <v>0</v>
      </c>
      <c r="W60" s="592">
        <v>0</v>
      </c>
      <c r="X60" s="592">
        <v>0</v>
      </c>
      <c r="Y60" s="592">
        <v>0</v>
      </c>
      <c r="Z60" s="592">
        <v>0</v>
      </c>
      <c r="AA60" s="592">
        <v>0</v>
      </c>
      <c r="AB60" s="592">
        <v>0</v>
      </c>
      <c r="AC60" s="592">
        <v>0</v>
      </c>
      <c r="AD60" s="592">
        <v>0</v>
      </c>
      <c r="AE60" s="592">
        <v>0</v>
      </c>
      <c r="AF60" s="592">
        <v>0</v>
      </c>
      <c r="AG60" s="592">
        <v>0</v>
      </c>
      <c r="AH60" s="592">
        <v>0</v>
      </c>
      <c r="AI60" s="592">
        <v>0</v>
      </c>
      <c r="AJ60" s="460">
        <v>0</v>
      </c>
      <c r="AK60" s="460">
        <v>0</v>
      </c>
      <c r="AL60" s="460">
        <v>0</v>
      </c>
      <c r="AM60" s="460">
        <v>0</v>
      </c>
      <c r="AN60" s="460">
        <v>0</v>
      </c>
      <c r="AO60" s="460">
        <v>0</v>
      </c>
      <c r="AP60" s="460">
        <v>0</v>
      </c>
      <c r="AQ60" s="460">
        <v>0</v>
      </c>
      <c r="AR60" s="460">
        <v>0</v>
      </c>
      <c r="AS60" s="460">
        <v>0</v>
      </c>
      <c r="AT60" s="460">
        <v>0</v>
      </c>
      <c r="AU60" s="460">
        <v>0</v>
      </c>
      <c r="AV60" s="460">
        <v>0</v>
      </c>
      <c r="AW60" s="460">
        <v>0</v>
      </c>
      <c r="AX60" s="460">
        <v>0</v>
      </c>
      <c r="AY60" s="460">
        <v>0</v>
      </c>
      <c r="AZ60" s="460">
        <v>0</v>
      </c>
    </row>
    <row r="61" spans="1:52" x14ac:dyDescent="0.2">
      <c r="A61" s="588" t="s">
        <v>351</v>
      </c>
      <c r="B61" s="588" t="s">
        <v>223</v>
      </c>
      <c r="C61" s="588" t="s">
        <v>352</v>
      </c>
      <c r="D61" s="588">
        <v>0</v>
      </c>
      <c r="E61" s="588">
        <v>0</v>
      </c>
      <c r="F61" s="589">
        <v>0</v>
      </c>
      <c r="G61" s="589">
        <v>0</v>
      </c>
      <c r="H61" s="588">
        <v>0</v>
      </c>
      <c r="I61" s="588">
        <v>0</v>
      </c>
      <c r="J61" s="588">
        <v>811172.56092077505</v>
      </c>
      <c r="K61" s="588">
        <v>811172.56092077505</v>
      </c>
      <c r="L61" s="460">
        <v>811172.56092077505</v>
      </c>
      <c r="M61" s="460">
        <v>0</v>
      </c>
      <c r="N61" s="460">
        <v>811172.56092077505</v>
      </c>
      <c r="O61" s="588">
        <v>32803.257555122502</v>
      </c>
      <c r="P61" s="588">
        <v>40140.354956766903</v>
      </c>
      <c r="Q61" s="588">
        <v>0</v>
      </c>
      <c r="R61" s="588">
        <v>738228.94840888598</v>
      </c>
      <c r="S61" s="592">
        <v>0</v>
      </c>
      <c r="T61" s="592">
        <v>0</v>
      </c>
      <c r="U61" s="592">
        <v>0</v>
      </c>
      <c r="V61" s="592">
        <v>0</v>
      </c>
      <c r="W61" s="592">
        <v>0</v>
      </c>
      <c r="X61" s="592">
        <v>0</v>
      </c>
      <c r="Y61" s="592">
        <v>0</v>
      </c>
      <c r="Z61" s="592">
        <v>0</v>
      </c>
      <c r="AA61" s="592">
        <v>0</v>
      </c>
      <c r="AB61" s="592">
        <v>0</v>
      </c>
      <c r="AC61" s="592">
        <v>0</v>
      </c>
      <c r="AD61" s="592">
        <v>0</v>
      </c>
      <c r="AE61" s="592">
        <v>0</v>
      </c>
      <c r="AF61" s="592">
        <v>0</v>
      </c>
      <c r="AG61" s="592">
        <v>0</v>
      </c>
      <c r="AH61" s="592">
        <v>0</v>
      </c>
      <c r="AI61" s="592">
        <v>0</v>
      </c>
      <c r="AJ61" s="460">
        <v>0</v>
      </c>
      <c r="AK61" s="460">
        <v>0</v>
      </c>
      <c r="AL61" s="460">
        <v>0</v>
      </c>
      <c r="AM61" s="460">
        <v>0</v>
      </c>
      <c r="AN61" s="460">
        <v>0</v>
      </c>
      <c r="AO61" s="460">
        <v>0</v>
      </c>
      <c r="AP61" s="460">
        <v>0</v>
      </c>
      <c r="AQ61" s="460">
        <v>0</v>
      </c>
      <c r="AR61" s="460">
        <v>0</v>
      </c>
      <c r="AS61" s="460">
        <v>0</v>
      </c>
      <c r="AT61" s="460">
        <v>0</v>
      </c>
      <c r="AU61" s="460">
        <v>0</v>
      </c>
      <c r="AV61" s="460">
        <v>0</v>
      </c>
      <c r="AW61" s="460">
        <v>0</v>
      </c>
      <c r="AX61" s="460">
        <v>0</v>
      </c>
      <c r="AY61" s="460">
        <v>0</v>
      </c>
      <c r="AZ61" s="460">
        <v>0</v>
      </c>
    </row>
    <row r="62" spans="1:52" x14ac:dyDescent="0.2">
      <c r="A62" s="588" t="s">
        <v>353</v>
      </c>
      <c r="B62" s="588" t="s">
        <v>223</v>
      </c>
      <c r="C62" s="588" t="s">
        <v>354</v>
      </c>
      <c r="D62" s="588">
        <v>0</v>
      </c>
      <c r="E62" s="588">
        <v>0</v>
      </c>
      <c r="F62" s="589">
        <v>0</v>
      </c>
      <c r="G62" s="589">
        <v>0</v>
      </c>
      <c r="H62" s="588">
        <v>0</v>
      </c>
      <c r="I62" s="588">
        <v>0</v>
      </c>
      <c r="J62" s="588">
        <v>540782.02122307895</v>
      </c>
      <c r="K62" s="588">
        <v>540782.02122307895</v>
      </c>
      <c r="L62" s="460">
        <v>540782.02122307895</v>
      </c>
      <c r="M62" s="460">
        <v>0</v>
      </c>
      <c r="N62" s="460">
        <v>540782.02122307895</v>
      </c>
      <c r="O62" s="588">
        <v>21868.979552268502</v>
      </c>
      <c r="P62" s="588">
        <v>26760.409398219999</v>
      </c>
      <c r="Q62" s="588">
        <v>0</v>
      </c>
      <c r="R62" s="588">
        <v>492152.632272591</v>
      </c>
      <c r="S62" s="592">
        <v>0</v>
      </c>
      <c r="T62" s="592">
        <v>0</v>
      </c>
      <c r="U62" s="592">
        <v>0</v>
      </c>
      <c r="V62" s="592">
        <v>0</v>
      </c>
      <c r="W62" s="592">
        <v>0</v>
      </c>
      <c r="X62" s="592">
        <v>0</v>
      </c>
      <c r="Y62" s="592">
        <v>0</v>
      </c>
      <c r="Z62" s="592">
        <v>0</v>
      </c>
      <c r="AA62" s="592">
        <v>0</v>
      </c>
      <c r="AB62" s="592">
        <v>0</v>
      </c>
      <c r="AC62" s="592">
        <v>0</v>
      </c>
      <c r="AD62" s="592">
        <v>0</v>
      </c>
      <c r="AE62" s="592">
        <v>0</v>
      </c>
      <c r="AF62" s="592">
        <v>0</v>
      </c>
      <c r="AG62" s="592">
        <v>0</v>
      </c>
      <c r="AH62" s="592">
        <v>0</v>
      </c>
      <c r="AI62" s="592">
        <v>0</v>
      </c>
      <c r="AJ62" s="460">
        <v>0</v>
      </c>
      <c r="AK62" s="460">
        <v>0</v>
      </c>
      <c r="AL62" s="460">
        <v>0</v>
      </c>
      <c r="AM62" s="460">
        <v>0</v>
      </c>
      <c r="AN62" s="460">
        <v>0</v>
      </c>
      <c r="AO62" s="460">
        <v>0</v>
      </c>
      <c r="AP62" s="460">
        <v>0</v>
      </c>
      <c r="AQ62" s="460">
        <v>0</v>
      </c>
      <c r="AR62" s="460">
        <v>0</v>
      </c>
      <c r="AS62" s="460">
        <v>0</v>
      </c>
      <c r="AT62" s="460">
        <v>0</v>
      </c>
      <c r="AU62" s="460">
        <v>0</v>
      </c>
      <c r="AV62" s="460">
        <v>0</v>
      </c>
      <c r="AW62" s="460">
        <v>0</v>
      </c>
      <c r="AX62" s="460">
        <v>0</v>
      </c>
      <c r="AY62" s="460">
        <v>0</v>
      </c>
      <c r="AZ62" s="460">
        <v>0</v>
      </c>
    </row>
    <row r="63" spans="1:52" x14ac:dyDescent="0.2">
      <c r="A63" s="588" t="s">
        <v>355</v>
      </c>
      <c r="B63" s="588" t="s">
        <v>223</v>
      </c>
      <c r="C63" s="588" t="s">
        <v>356</v>
      </c>
      <c r="D63" s="588">
        <v>0</v>
      </c>
      <c r="E63" s="588">
        <v>0</v>
      </c>
      <c r="F63" s="589">
        <v>0</v>
      </c>
      <c r="G63" s="589">
        <v>0</v>
      </c>
      <c r="H63" s="588">
        <v>0</v>
      </c>
      <c r="I63" s="588">
        <v>0</v>
      </c>
      <c r="J63" s="588">
        <v>1134747.8667027701</v>
      </c>
      <c r="K63" s="588">
        <v>1134747.8667027701</v>
      </c>
      <c r="L63" s="460">
        <v>1134747.8667027701</v>
      </c>
      <c r="M63" s="460">
        <v>0</v>
      </c>
      <c r="N63" s="460">
        <v>1134747.8667027701</v>
      </c>
      <c r="O63" s="588">
        <v>45924.7299957957</v>
      </c>
      <c r="P63" s="588">
        <v>56196.704251924202</v>
      </c>
      <c r="Q63" s="588">
        <v>0</v>
      </c>
      <c r="R63" s="588">
        <v>1032626.4324550499</v>
      </c>
      <c r="S63" s="592">
        <v>0</v>
      </c>
      <c r="T63" s="592">
        <v>0</v>
      </c>
      <c r="U63" s="592">
        <v>0</v>
      </c>
      <c r="V63" s="592">
        <v>0</v>
      </c>
      <c r="W63" s="592">
        <v>0</v>
      </c>
      <c r="X63" s="592">
        <v>0</v>
      </c>
      <c r="Y63" s="592">
        <v>0</v>
      </c>
      <c r="Z63" s="592">
        <v>0</v>
      </c>
      <c r="AA63" s="592">
        <v>0</v>
      </c>
      <c r="AB63" s="592">
        <v>0</v>
      </c>
      <c r="AC63" s="592">
        <v>0</v>
      </c>
      <c r="AD63" s="592">
        <v>0</v>
      </c>
      <c r="AE63" s="592">
        <v>0</v>
      </c>
      <c r="AF63" s="592">
        <v>0</v>
      </c>
      <c r="AG63" s="592">
        <v>0</v>
      </c>
      <c r="AH63" s="592">
        <v>0</v>
      </c>
      <c r="AI63" s="592">
        <v>0</v>
      </c>
      <c r="AJ63" s="460">
        <v>0</v>
      </c>
      <c r="AK63" s="460">
        <v>0</v>
      </c>
      <c r="AL63" s="460">
        <v>0</v>
      </c>
      <c r="AM63" s="460">
        <v>0</v>
      </c>
      <c r="AN63" s="460">
        <v>0</v>
      </c>
      <c r="AO63" s="460">
        <v>0</v>
      </c>
      <c r="AP63" s="460">
        <v>0</v>
      </c>
      <c r="AQ63" s="460">
        <v>0</v>
      </c>
      <c r="AR63" s="460">
        <v>0</v>
      </c>
      <c r="AS63" s="460">
        <v>0</v>
      </c>
      <c r="AT63" s="460">
        <v>0</v>
      </c>
      <c r="AU63" s="460">
        <v>0</v>
      </c>
      <c r="AV63" s="460">
        <v>0</v>
      </c>
      <c r="AW63" s="460">
        <v>0</v>
      </c>
      <c r="AX63" s="460">
        <v>0</v>
      </c>
      <c r="AY63" s="460">
        <v>0</v>
      </c>
      <c r="AZ63" s="460">
        <v>0</v>
      </c>
    </row>
    <row r="64" spans="1:52" x14ac:dyDescent="0.2">
      <c r="A64" s="588" t="s">
        <v>368</v>
      </c>
      <c r="B64" s="588" t="s">
        <v>224</v>
      </c>
      <c r="C64" s="588" t="s">
        <v>72</v>
      </c>
      <c r="D64" s="588">
        <v>0</v>
      </c>
      <c r="E64" s="588">
        <v>0</v>
      </c>
      <c r="F64" s="589">
        <v>0</v>
      </c>
      <c r="G64" s="589">
        <v>0</v>
      </c>
      <c r="H64" s="588">
        <v>0</v>
      </c>
      <c r="I64" s="588">
        <v>0</v>
      </c>
      <c r="J64" s="588">
        <v>4569658.1467686398</v>
      </c>
      <c r="K64" s="588">
        <v>4569658.1467686398</v>
      </c>
      <c r="L64" s="460">
        <v>4569658.1467686398</v>
      </c>
      <c r="M64" s="460">
        <v>0</v>
      </c>
      <c r="N64" s="460">
        <v>4569658.1467686398</v>
      </c>
      <c r="O64" s="588">
        <v>184822.04054498099</v>
      </c>
      <c r="P64" s="588">
        <v>14589.682199999999</v>
      </c>
      <c r="Q64" s="588">
        <v>0</v>
      </c>
      <c r="R64" s="588">
        <v>4370246.4240236599</v>
      </c>
      <c r="S64" s="592">
        <v>0</v>
      </c>
      <c r="T64" s="592">
        <v>0</v>
      </c>
      <c r="U64" s="592">
        <v>0</v>
      </c>
      <c r="V64" s="592">
        <v>0</v>
      </c>
      <c r="W64" s="592">
        <v>0</v>
      </c>
      <c r="X64" s="592">
        <v>0</v>
      </c>
      <c r="Y64" s="592">
        <v>0</v>
      </c>
      <c r="Z64" s="592">
        <v>0</v>
      </c>
      <c r="AA64" s="592">
        <v>0</v>
      </c>
      <c r="AB64" s="592">
        <v>0</v>
      </c>
      <c r="AC64" s="592">
        <v>0</v>
      </c>
      <c r="AD64" s="592">
        <v>0</v>
      </c>
      <c r="AE64" s="592">
        <v>0</v>
      </c>
      <c r="AF64" s="592">
        <v>0</v>
      </c>
      <c r="AG64" s="592">
        <v>0</v>
      </c>
      <c r="AH64" s="592">
        <v>0</v>
      </c>
      <c r="AI64" s="592">
        <v>0</v>
      </c>
      <c r="AJ64" s="460">
        <v>0</v>
      </c>
      <c r="AK64" s="460">
        <v>0</v>
      </c>
      <c r="AL64" s="460">
        <v>0</v>
      </c>
      <c r="AM64" s="460">
        <v>0</v>
      </c>
      <c r="AN64" s="460">
        <v>0</v>
      </c>
      <c r="AO64" s="460">
        <v>0</v>
      </c>
      <c r="AP64" s="460">
        <v>0</v>
      </c>
      <c r="AQ64" s="460">
        <v>0</v>
      </c>
      <c r="AR64" s="460">
        <v>0</v>
      </c>
      <c r="AS64" s="460">
        <v>0</v>
      </c>
      <c r="AT64" s="460">
        <v>0</v>
      </c>
      <c r="AU64" s="460">
        <v>0</v>
      </c>
      <c r="AV64" s="460">
        <v>0</v>
      </c>
      <c r="AW64" s="460">
        <v>0</v>
      </c>
      <c r="AX64" s="460">
        <v>0</v>
      </c>
      <c r="AY64" s="460">
        <v>0</v>
      </c>
      <c r="AZ64" s="460">
        <v>0</v>
      </c>
    </row>
    <row r="65" spans="1:52" x14ac:dyDescent="0.2">
      <c r="A65" s="588" t="s">
        <v>369</v>
      </c>
      <c r="B65" s="588" t="s">
        <v>224</v>
      </c>
      <c r="C65" s="588" t="s">
        <v>6</v>
      </c>
      <c r="D65" s="588">
        <v>0</v>
      </c>
      <c r="E65" s="588">
        <v>0</v>
      </c>
      <c r="F65" s="589">
        <v>0</v>
      </c>
      <c r="G65" s="589">
        <v>0</v>
      </c>
      <c r="H65" s="588">
        <v>0</v>
      </c>
      <c r="I65" s="588">
        <v>0</v>
      </c>
      <c r="J65" s="588">
        <v>520610.47838690999</v>
      </c>
      <c r="K65" s="588">
        <v>520610.47838690999</v>
      </c>
      <c r="L65" s="460">
        <v>520610.47838690999</v>
      </c>
      <c r="M65" s="460">
        <v>0</v>
      </c>
      <c r="N65" s="460">
        <v>520610.47838690999</v>
      </c>
      <c r="O65" s="588">
        <v>22462.198717348299</v>
      </c>
      <c r="P65" s="588">
        <v>84048</v>
      </c>
      <c r="Q65" s="588">
        <v>0</v>
      </c>
      <c r="R65" s="588">
        <v>414100.27966956201</v>
      </c>
      <c r="S65" s="592">
        <v>0</v>
      </c>
      <c r="T65" s="592">
        <v>0</v>
      </c>
      <c r="U65" s="592">
        <v>0</v>
      </c>
      <c r="V65" s="592">
        <v>0</v>
      </c>
      <c r="W65" s="592">
        <v>0</v>
      </c>
      <c r="X65" s="592">
        <v>0</v>
      </c>
      <c r="Y65" s="592">
        <v>0</v>
      </c>
      <c r="Z65" s="592">
        <v>0</v>
      </c>
      <c r="AA65" s="592">
        <v>0</v>
      </c>
      <c r="AB65" s="592">
        <v>0</v>
      </c>
      <c r="AC65" s="592">
        <v>0</v>
      </c>
      <c r="AD65" s="592">
        <v>0</v>
      </c>
      <c r="AE65" s="592">
        <v>0</v>
      </c>
      <c r="AF65" s="592">
        <v>0</v>
      </c>
      <c r="AG65" s="592">
        <v>0</v>
      </c>
      <c r="AH65" s="592">
        <v>0</v>
      </c>
      <c r="AI65" s="592">
        <v>0</v>
      </c>
      <c r="AJ65" s="460">
        <v>0</v>
      </c>
      <c r="AK65" s="460">
        <v>0</v>
      </c>
      <c r="AL65" s="460">
        <v>0</v>
      </c>
      <c r="AM65" s="460">
        <v>0</v>
      </c>
      <c r="AN65" s="460">
        <v>0</v>
      </c>
      <c r="AO65" s="460">
        <v>0</v>
      </c>
      <c r="AP65" s="460">
        <v>0</v>
      </c>
      <c r="AQ65" s="460">
        <v>0</v>
      </c>
      <c r="AR65" s="460">
        <v>0</v>
      </c>
      <c r="AS65" s="460">
        <v>0</v>
      </c>
      <c r="AT65" s="460">
        <v>0</v>
      </c>
      <c r="AU65" s="460">
        <v>0</v>
      </c>
      <c r="AV65" s="460">
        <v>0</v>
      </c>
      <c r="AW65" s="460">
        <v>0</v>
      </c>
      <c r="AX65" s="460">
        <v>0</v>
      </c>
      <c r="AY65" s="460">
        <v>0</v>
      </c>
      <c r="AZ65" s="460">
        <v>0</v>
      </c>
    </row>
    <row r="66" spans="1:52" x14ac:dyDescent="0.2">
      <c r="A66" s="588" t="s">
        <v>412</v>
      </c>
      <c r="B66" s="588" t="s">
        <v>228</v>
      </c>
      <c r="C66" s="588" t="s">
        <v>4</v>
      </c>
      <c r="D66" s="588">
        <v>11576952.7607083</v>
      </c>
      <c r="E66" s="588">
        <v>7860.3078916036802</v>
      </c>
      <c r="F66" s="589">
        <v>2.2575826114973001</v>
      </c>
      <c r="G66" s="589">
        <v>2.35666673054771</v>
      </c>
      <c r="H66" s="588">
        <v>585714.07771271002</v>
      </c>
      <c r="I66" s="588">
        <v>9937510.5610739905</v>
      </c>
      <c r="J66" s="588">
        <v>4661279.98381746</v>
      </c>
      <c r="K66" s="588">
        <v>4465300.2914591096</v>
      </c>
      <c r="L66" s="460">
        <v>545706.44429229805</v>
      </c>
      <c r="M66" s="460">
        <v>4228156.0335973296</v>
      </c>
      <c r="N66" s="460">
        <v>4773862.47788963</v>
      </c>
      <c r="O66" s="588">
        <v>174688.59852523799</v>
      </c>
      <c r="P66" s="588">
        <v>42770.1757664502</v>
      </c>
      <c r="Q66" s="588">
        <v>21830.553943769701</v>
      </c>
      <c r="R66" s="588">
        <v>201357.11605684101</v>
      </c>
      <c r="S66" s="592">
        <v>0</v>
      </c>
      <c r="T66" s="592">
        <v>0</v>
      </c>
      <c r="U66" s="592">
        <v>105060</v>
      </c>
      <c r="V66" s="592">
        <v>0</v>
      </c>
      <c r="W66" s="592">
        <v>0</v>
      </c>
      <c r="X66" s="592">
        <v>0</v>
      </c>
      <c r="Y66" s="592">
        <v>2387003.9130378398</v>
      </c>
      <c r="Z66" s="592">
        <v>1841152.1205594901</v>
      </c>
      <c r="AA66" s="592">
        <v>0</v>
      </c>
      <c r="AB66" s="592">
        <v>0</v>
      </c>
      <c r="AC66" s="592">
        <v>4228156.0335973296</v>
      </c>
      <c r="AD66" s="592">
        <v>0</v>
      </c>
      <c r="AE66" s="592">
        <v>0</v>
      </c>
      <c r="AF66" s="592">
        <v>47057453.842358597</v>
      </c>
      <c r="AG66" s="592">
        <v>42351708.458122797</v>
      </c>
      <c r="AH66" s="592">
        <v>771457.08580199897</v>
      </c>
      <c r="AI66" s="592">
        <v>694311.37722179899</v>
      </c>
      <c r="AJ66" s="460">
        <v>0.234642495494607</v>
      </c>
      <c r="AK66" s="460">
        <v>0.84358991790739801</v>
      </c>
      <c r="AL66" s="460">
        <v>0.10393528648725101</v>
      </c>
      <c r="AM66" s="460">
        <v>9.17673506794109E-2</v>
      </c>
      <c r="AN66" s="460">
        <v>9.9565412645373899E-2</v>
      </c>
      <c r="AO66" s="460">
        <v>8.7397476837534196E-2</v>
      </c>
      <c r="AP66" s="460">
        <v>0.26160634646004499</v>
      </c>
      <c r="AQ66" s="460">
        <v>0.130707209007356</v>
      </c>
      <c r="AR66" s="460">
        <v>0.142875144815196</v>
      </c>
      <c r="AS66" s="460">
        <v>0.135077082849233</v>
      </c>
      <c r="AT66" s="460">
        <v>0.14724501865707301</v>
      </c>
      <c r="AU66" s="460">
        <v>0.46992035046335001</v>
      </c>
      <c r="AV66" s="460">
        <v>0.51366668016207295</v>
      </c>
      <c r="AW66" s="460">
        <v>0.48563098083217598</v>
      </c>
      <c r="AX66" s="460">
        <v>0.52937731053089798</v>
      </c>
      <c r="AY66" s="460">
        <v>-2.6963850965438001E-2</v>
      </c>
      <c r="AZ66" s="460">
        <v>-9.6940806798247903E-2</v>
      </c>
    </row>
    <row r="67" spans="1:52" x14ac:dyDescent="0.2">
      <c r="A67" s="588" t="s">
        <v>417</v>
      </c>
      <c r="B67" s="588" t="s">
        <v>229</v>
      </c>
      <c r="C67" s="588" t="s">
        <v>24</v>
      </c>
      <c r="D67" s="588">
        <v>3362433.12589934</v>
      </c>
      <c r="E67" s="588">
        <v>242.623166593836</v>
      </c>
      <c r="F67" s="589">
        <v>1.3847784630219699</v>
      </c>
      <c r="G67" s="589">
        <v>2.1853855426057698</v>
      </c>
      <c r="H67" s="588">
        <v>0</v>
      </c>
      <c r="I67" s="588">
        <v>2417925.7614747998</v>
      </c>
      <c r="J67" s="588">
        <v>1746074.06602657</v>
      </c>
      <c r="K67" s="588">
        <v>1106406.9539838501</v>
      </c>
      <c r="L67" s="460">
        <v>773900.75399742497</v>
      </c>
      <c r="M67" s="460">
        <v>358682.08556795999</v>
      </c>
      <c r="N67" s="460">
        <v>1132582.83956538</v>
      </c>
      <c r="O67" s="588">
        <v>46942.042771647903</v>
      </c>
      <c r="P67" s="588">
        <v>114124.776346161</v>
      </c>
      <c r="Q67" s="588">
        <v>25637.103297762998</v>
      </c>
      <c r="R67" s="588">
        <v>575413.43276768399</v>
      </c>
      <c r="S67" s="592">
        <v>0</v>
      </c>
      <c r="T67" s="592">
        <v>0</v>
      </c>
      <c r="U67" s="592">
        <v>11783.3988141687</v>
      </c>
      <c r="V67" s="592">
        <v>0</v>
      </c>
      <c r="W67" s="592">
        <v>0</v>
      </c>
      <c r="X67" s="592">
        <v>0</v>
      </c>
      <c r="Y67" s="592">
        <v>0</v>
      </c>
      <c r="Z67" s="592">
        <v>0</v>
      </c>
      <c r="AA67" s="592">
        <v>358682.08556795999</v>
      </c>
      <c r="AB67" s="592">
        <v>0</v>
      </c>
      <c r="AC67" s="592">
        <v>1356587.7537674501</v>
      </c>
      <c r="AD67" s="592">
        <v>0</v>
      </c>
      <c r="AE67" s="592">
        <v>622194.23841568397</v>
      </c>
      <c r="AF67" s="592">
        <v>22926544.7444003</v>
      </c>
      <c r="AG67" s="592">
        <v>15565762.5727634</v>
      </c>
      <c r="AH67" s="592">
        <v>0</v>
      </c>
      <c r="AI67" s="592">
        <v>0</v>
      </c>
      <c r="AJ67" s="460">
        <v>0.155336158454943</v>
      </c>
      <c r="AK67" s="460">
        <v>0</v>
      </c>
      <c r="AL67" s="460">
        <v>0.112174013824534</v>
      </c>
      <c r="AM67" s="460">
        <v>6.2455874390004697E-2</v>
      </c>
      <c r="AN67" s="460">
        <v>7.1079521405512006E-2</v>
      </c>
      <c r="AO67" s="460">
        <v>2.13613819709829E-2</v>
      </c>
      <c r="AP67" s="460">
        <v>0.230638548685415</v>
      </c>
      <c r="AQ67" s="460">
        <v>4.3162144630409301E-2</v>
      </c>
      <c r="AR67" s="460">
        <v>9.2880284064938506E-2</v>
      </c>
      <c r="AS67" s="460">
        <v>8.4256637049431093E-2</v>
      </c>
      <c r="AT67" s="460">
        <v>0.13397477648396</v>
      </c>
      <c r="AU67" s="460">
        <v>0</v>
      </c>
      <c r="AV67" s="460">
        <v>0</v>
      </c>
      <c r="AW67" s="460">
        <v>0</v>
      </c>
      <c r="AX67" s="460">
        <v>0</v>
      </c>
      <c r="AY67" s="460">
        <v>-7.5302390230471694E-2</v>
      </c>
      <c r="AZ67" s="460">
        <v>0</v>
      </c>
    </row>
    <row r="68" spans="1:52" x14ac:dyDescent="0.2">
      <c r="A68" s="588" t="s">
        <v>418</v>
      </c>
      <c r="B68" s="588" t="s">
        <v>229</v>
      </c>
      <c r="C68" s="588" t="s">
        <v>25</v>
      </c>
      <c r="D68" s="588">
        <v>3337501.3828323502</v>
      </c>
      <c r="E68" s="588">
        <v>295.75465190343601</v>
      </c>
      <c r="F68" s="589">
        <v>1.13707044599034</v>
      </c>
      <c r="G68" s="589">
        <v>2.0914766645279599</v>
      </c>
      <c r="H68" s="588">
        <v>-734.36820607695404</v>
      </c>
      <c r="I68" s="588">
        <v>2163564.93543731</v>
      </c>
      <c r="J68" s="588">
        <v>1902107.8024303899</v>
      </c>
      <c r="K68" s="588">
        <v>1034116.51868436</v>
      </c>
      <c r="L68" s="460">
        <v>754332.479440553</v>
      </c>
      <c r="M68" s="460">
        <v>301809.47816519998</v>
      </c>
      <c r="N68" s="460">
        <v>1056141.9576057501</v>
      </c>
      <c r="O68" s="588">
        <v>46020.903983710501</v>
      </c>
      <c r="P68" s="588">
        <v>87046.184057577295</v>
      </c>
      <c r="Q68" s="588">
        <v>32046.3791222037</v>
      </c>
      <c r="R68" s="588">
        <v>577435.61346289294</v>
      </c>
      <c r="S68" s="592">
        <v>0</v>
      </c>
      <c r="T68" s="592">
        <v>0</v>
      </c>
      <c r="U68" s="592">
        <v>11783.3988141687</v>
      </c>
      <c r="V68" s="592">
        <v>0</v>
      </c>
      <c r="W68" s="592">
        <v>0</v>
      </c>
      <c r="X68" s="592">
        <v>0</v>
      </c>
      <c r="Y68" s="592">
        <v>0</v>
      </c>
      <c r="Z68" s="592">
        <v>0</v>
      </c>
      <c r="AA68" s="592">
        <v>301809.47816519998</v>
      </c>
      <c r="AB68" s="592">
        <v>0</v>
      </c>
      <c r="AC68" s="592">
        <v>1697591.68041513</v>
      </c>
      <c r="AD68" s="592">
        <v>0</v>
      </c>
      <c r="AE68" s="592">
        <v>851442.57755560998</v>
      </c>
      <c r="AF68" s="592">
        <v>23014919.5751376</v>
      </c>
      <c r="AG68" s="592">
        <v>15466583.2661041</v>
      </c>
      <c r="AH68" s="592">
        <v>-13071.423996990399</v>
      </c>
      <c r="AI68" s="592">
        <v>-653.57119984951896</v>
      </c>
      <c r="AJ68" s="460">
        <v>0.139886418235557</v>
      </c>
      <c r="AK68" s="460">
        <v>1.1236238779279699</v>
      </c>
      <c r="AL68" s="460">
        <v>0.123023528338846</v>
      </c>
      <c r="AM68" s="460">
        <v>7.4235208853066906E-2</v>
      </c>
      <c r="AN68" s="460">
        <v>6.6884044468709894E-2</v>
      </c>
      <c r="AO68" s="460">
        <v>1.8095724982931001E-2</v>
      </c>
      <c r="AP68" s="460">
        <v>0.22619507526180799</v>
      </c>
      <c r="AQ68" s="460">
        <v>1.6862889896711301E-2</v>
      </c>
      <c r="AR68" s="460">
        <v>6.5651209382490194E-2</v>
      </c>
      <c r="AS68" s="460">
        <v>7.3002373766847206E-2</v>
      </c>
      <c r="AT68" s="460">
        <v>0.12179069325262599</v>
      </c>
      <c r="AU68" s="460">
        <v>0.13544950237395101</v>
      </c>
      <c r="AV68" s="460">
        <v>0.52733687378310301</v>
      </c>
      <c r="AW68" s="460">
        <v>0.58638437772965701</v>
      </c>
      <c r="AX68" s="460">
        <v>0.97827174913880899</v>
      </c>
      <c r="AY68" s="460">
        <v>-8.6308657026250998E-2</v>
      </c>
      <c r="AZ68" s="460">
        <v>-0.69326578755606705</v>
      </c>
    </row>
    <row r="69" spans="1:52" x14ac:dyDescent="0.2">
      <c r="A69" s="588" t="s">
        <v>419</v>
      </c>
      <c r="B69" s="588" t="s">
        <v>229</v>
      </c>
      <c r="C69" s="588" t="s">
        <v>26</v>
      </c>
      <c r="D69" s="588">
        <v>3384143.0266200001</v>
      </c>
      <c r="E69" s="588">
        <v>258.039596296176</v>
      </c>
      <c r="F69" s="589">
        <v>1.4116215370103999</v>
      </c>
      <c r="G69" s="589">
        <v>1.96532706259041</v>
      </c>
      <c r="H69" s="588">
        <v>68677.026679418894</v>
      </c>
      <c r="I69" s="588">
        <v>2352670.8787330901</v>
      </c>
      <c r="J69" s="588">
        <v>1715295.3833083</v>
      </c>
      <c r="K69" s="588">
        <v>1232033.0552111999</v>
      </c>
      <c r="L69" s="460">
        <v>960357.73949437297</v>
      </c>
      <c r="M69" s="460">
        <v>293062.41159600002</v>
      </c>
      <c r="N69" s="460">
        <v>1253420.15109037</v>
      </c>
      <c r="O69" s="588">
        <v>57707.236257496799</v>
      </c>
      <c r="P69" s="588">
        <v>94796.850370570406</v>
      </c>
      <c r="Q69" s="588">
        <v>14099.8968256396</v>
      </c>
      <c r="R69" s="588">
        <v>736908.80948675994</v>
      </c>
      <c r="S69" s="592">
        <v>0</v>
      </c>
      <c r="T69" s="592">
        <v>0</v>
      </c>
      <c r="U69" s="592">
        <v>56844.946553906702</v>
      </c>
      <c r="V69" s="592">
        <v>0</v>
      </c>
      <c r="W69" s="592">
        <v>0</v>
      </c>
      <c r="X69" s="592">
        <v>0</v>
      </c>
      <c r="Y69" s="592">
        <v>0</v>
      </c>
      <c r="Z69" s="592">
        <v>0</v>
      </c>
      <c r="AA69" s="592">
        <v>293062.41159600002</v>
      </c>
      <c r="AB69" s="592">
        <v>0</v>
      </c>
      <c r="AC69" s="592">
        <v>1023009.12536529</v>
      </c>
      <c r="AD69" s="592">
        <v>0</v>
      </c>
      <c r="AE69" s="592">
        <v>470155.73208362999</v>
      </c>
      <c r="AF69" s="592">
        <v>24512437.648660898</v>
      </c>
      <c r="AG69" s="592">
        <v>17280030.193288799</v>
      </c>
      <c r="AH69" s="592">
        <v>111129.109738723</v>
      </c>
      <c r="AI69" s="592">
        <v>61121.010356297702</v>
      </c>
      <c r="AJ69" s="460">
        <v>0.13614969721793799</v>
      </c>
      <c r="AK69" s="460">
        <v>1.1236238779279699</v>
      </c>
      <c r="AL69" s="460">
        <v>9.6449149894866498E-2</v>
      </c>
      <c r="AM69" s="460">
        <v>4.2449303296702101E-2</v>
      </c>
      <c r="AN69" s="460">
        <v>6.9275847165349194E-2</v>
      </c>
      <c r="AO69" s="460">
        <v>1.5276000567184801E-2</v>
      </c>
      <c r="AP69" s="460">
        <v>0.22874964044875401</v>
      </c>
      <c r="AQ69" s="460">
        <v>3.9700547323071197E-2</v>
      </c>
      <c r="AR69" s="460">
        <v>9.3700393921235595E-2</v>
      </c>
      <c r="AS69" s="460">
        <v>6.6873850052588502E-2</v>
      </c>
      <c r="AT69" s="460">
        <v>0.120873696650753</v>
      </c>
      <c r="AU69" s="460">
        <v>0.32764290961004799</v>
      </c>
      <c r="AV69" s="460">
        <v>0.77329588043539299</v>
      </c>
      <c r="AW69" s="460">
        <v>0.55190027053665303</v>
      </c>
      <c r="AX69" s="460">
        <v>0.99755324136199697</v>
      </c>
      <c r="AY69" s="460">
        <v>-9.25999432308168E-2</v>
      </c>
      <c r="AZ69" s="460">
        <v>-0.76421401909083497</v>
      </c>
    </row>
    <row r="70" spans="1:52" x14ac:dyDescent="0.2">
      <c r="A70" s="588" t="s">
        <v>427</v>
      </c>
      <c r="B70" s="588" t="s">
        <v>233</v>
      </c>
      <c r="C70" s="588" t="s">
        <v>27</v>
      </c>
      <c r="D70" s="588">
        <v>18238609.5997972</v>
      </c>
      <c r="E70" s="588">
        <v>1279.5540428730701</v>
      </c>
      <c r="F70" s="589">
        <v>0.86761469555626403</v>
      </c>
      <c r="G70" s="589">
        <v>2.3298466399933</v>
      </c>
      <c r="H70" s="588">
        <v>0</v>
      </c>
      <c r="I70" s="588">
        <v>8083142.2619104497</v>
      </c>
      <c r="J70" s="588">
        <v>9316511.4691009298</v>
      </c>
      <c r="K70" s="588">
        <v>3469388.12330312</v>
      </c>
      <c r="L70" s="460">
        <v>1741692.1917111001</v>
      </c>
      <c r="M70" s="460">
        <v>1863705.3384147401</v>
      </c>
      <c r="N70" s="460">
        <v>3605397.5301258401</v>
      </c>
      <c r="O70" s="588">
        <v>171674.797963719</v>
      </c>
      <c r="P70" s="588">
        <v>97814.692912236307</v>
      </c>
      <c r="Q70" s="588">
        <v>15689.0494716665</v>
      </c>
      <c r="R70" s="588">
        <v>1447869.06195794</v>
      </c>
      <c r="S70" s="592">
        <v>0</v>
      </c>
      <c r="T70" s="592">
        <v>0</v>
      </c>
      <c r="U70" s="592">
        <v>8644.5894055427507</v>
      </c>
      <c r="V70" s="592">
        <v>0</v>
      </c>
      <c r="W70" s="592">
        <v>0</v>
      </c>
      <c r="X70" s="592">
        <v>0</v>
      </c>
      <c r="Y70" s="592">
        <v>0</v>
      </c>
      <c r="Z70" s="592">
        <v>0</v>
      </c>
      <c r="AA70" s="592">
        <v>1863705.3384147401</v>
      </c>
      <c r="AB70" s="592">
        <v>0</v>
      </c>
      <c r="AC70" s="592">
        <v>11274016.7458981</v>
      </c>
      <c r="AD70" s="592">
        <v>0</v>
      </c>
      <c r="AE70" s="592">
        <v>5714579.9274070002</v>
      </c>
      <c r="AF70" s="592">
        <v>124860555.807956</v>
      </c>
      <c r="AG70" s="592">
        <v>81991720.941203505</v>
      </c>
      <c r="AH70" s="592">
        <v>0</v>
      </c>
      <c r="AI70" s="592">
        <v>0</v>
      </c>
      <c r="AJ70" s="460">
        <v>9.8584859167755404E-2</v>
      </c>
      <c r="AK70" s="460">
        <v>0</v>
      </c>
      <c r="AL70" s="460">
        <v>0.113627465824041</v>
      </c>
      <c r="AM70" s="460">
        <v>9.2385172434930996E-2</v>
      </c>
      <c r="AN70" s="460">
        <v>4.2313883444293501E-2</v>
      </c>
      <c r="AO70" s="460">
        <v>2.1071590055183199E-2</v>
      </c>
      <c r="AP70" s="460">
        <v>0.20241692550353099</v>
      </c>
      <c r="AQ70" s="460">
        <v>-1.5042606656285901E-2</v>
      </c>
      <c r="AR70" s="460">
        <v>6.1996867328244099E-3</v>
      </c>
      <c r="AS70" s="460">
        <v>5.6270975723461999E-2</v>
      </c>
      <c r="AT70" s="460">
        <v>7.7513269112572294E-2</v>
      </c>
      <c r="AU70" s="460">
        <v>0</v>
      </c>
      <c r="AV70" s="460">
        <v>0</v>
      </c>
      <c r="AW70" s="460">
        <v>0</v>
      </c>
      <c r="AX70" s="460">
        <v>0</v>
      </c>
      <c r="AY70" s="460">
        <v>-0.103832066335776</v>
      </c>
      <c r="AZ70" s="460">
        <v>0</v>
      </c>
    </row>
    <row r="71" spans="1:52" x14ac:dyDescent="0.2">
      <c r="A71" s="588" t="s">
        <v>428</v>
      </c>
      <c r="B71" s="588" t="s">
        <v>233</v>
      </c>
      <c r="C71" s="588" t="s">
        <v>28</v>
      </c>
      <c r="D71" s="588">
        <v>45278811.129230097</v>
      </c>
      <c r="E71" s="588">
        <v>2687.4895449764299</v>
      </c>
      <c r="F71" s="589">
        <v>1.5252999271427601</v>
      </c>
      <c r="G71" s="589">
        <v>3.36628183970977</v>
      </c>
      <c r="H71" s="588">
        <v>0</v>
      </c>
      <c r="I71" s="588">
        <v>24773538.772637401</v>
      </c>
      <c r="J71" s="588">
        <v>16241749.135229999</v>
      </c>
      <c r="K71" s="588">
        <v>7359318.07028173</v>
      </c>
      <c r="L71" s="460">
        <v>3489569.55755156</v>
      </c>
      <c r="M71" s="460">
        <v>4174386.7248978298</v>
      </c>
      <c r="N71" s="460">
        <v>7663956.2824493898</v>
      </c>
      <c r="O71" s="588">
        <v>324258.47225934302</v>
      </c>
      <c r="P71" s="588">
        <v>135623.44025049999</v>
      </c>
      <c r="Q71" s="588">
        <v>90351.003417593907</v>
      </c>
      <c r="R71" s="588">
        <v>2930692.0522185802</v>
      </c>
      <c r="S71" s="592">
        <v>0</v>
      </c>
      <c r="T71" s="592">
        <v>0</v>
      </c>
      <c r="U71" s="592">
        <v>8644.5894055427507</v>
      </c>
      <c r="V71" s="592">
        <v>0</v>
      </c>
      <c r="W71" s="592">
        <v>0</v>
      </c>
      <c r="X71" s="592">
        <v>0</v>
      </c>
      <c r="Y71" s="592">
        <v>0</v>
      </c>
      <c r="Z71" s="592">
        <v>0</v>
      </c>
      <c r="AA71" s="592">
        <v>4174386.7248978298</v>
      </c>
      <c r="AB71" s="592">
        <v>0</v>
      </c>
      <c r="AC71" s="592">
        <v>15681023.632071599</v>
      </c>
      <c r="AD71" s="592">
        <v>0</v>
      </c>
      <c r="AE71" s="592">
        <v>8753318.0465638302</v>
      </c>
      <c r="AF71" s="592">
        <v>266026333.87591001</v>
      </c>
      <c r="AG71" s="592">
        <v>210831474.721183</v>
      </c>
      <c r="AH71" s="592">
        <v>0</v>
      </c>
      <c r="AI71" s="592">
        <v>0</v>
      </c>
      <c r="AJ71" s="460">
        <v>0.117503986562725</v>
      </c>
      <c r="AK71" s="460">
        <v>0</v>
      </c>
      <c r="AL71" s="460">
        <v>7.7036643398283797E-2</v>
      </c>
      <c r="AM71" s="460">
        <v>6.0485179428464299E-2</v>
      </c>
      <c r="AN71" s="460">
        <v>3.4906164176929301E-2</v>
      </c>
      <c r="AO71" s="460">
        <v>1.83547002071099E-2</v>
      </c>
      <c r="AP71" s="460">
        <v>0.19254523888844799</v>
      </c>
      <c r="AQ71" s="460">
        <v>4.0467343164441297E-2</v>
      </c>
      <c r="AR71" s="460">
        <v>5.7018807134260698E-2</v>
      </c>
      <c r="AS71" s="460">
        <v>8.2597822385795702E-2</v>
      </c>
      <c r="AT71" s="460">
        <v>9.9149286355615193E-2</v>
      </c>
      <c r="AU71" s="460">
        <v>0</v>
      </c>
      <c r="AV71" s="460">
        <v>0</v>
      </c>
      <c r="AW71" s="460">
        <v>0</v>
      </c>
      <c r="AX71" s="460">
        <v>0</v>
      </c>
      <c r="AY71" s="460">
        <v>-7.5041252325723201E-2</v>
      </c>
      <c r="AZ71" s="460">
        <v>0</v>
      </c>
    </row>
    <row r="72" spans="1:52" x14ac:dyDescent="0.2">
      <c r="A72" s="588" t="s">
        <v>429</v>
      </c>
      <c r="B72" s="588" t="s">
        <v>233</v>
      </c>
      <c r="C72" s="588" t="s">
        <v>29</v>
      </c>
      <c r="D72" s="588">
        <v>21344320.534393501</v>
      </c>
      <c r="E72" s="588">
        <v>582.75616047247399</v>
      </c>
      <c r="F72" s="589">
        <v>1.00386987114061</v>
      </c>
      <c r="G72" s="589">
        <v>1.3310748132258401</v>
      </c>
      <c r="H72" s="588">
        <v>0</v>
      </c>
      <c r="I72" s="588">
        <v>4082041.58221348</v>
      </c>
      <c r="J72" s="588">
        <v>4066305.5038950401</v>
      </c>
      <c r="K72" s="588">
        <v>3066725.88321367</v>
      </c>
      <c r="L72" s="460">
        <v>1373919.97424963</v>
      </c>
      <c r="M72" s="460">
        <v>1826068.66853542</v>
      </c>
      <c r="N72" s="460">
        <v>3199988.64278505</v>
      </c>
      <c r="O72" s="588">
        <v>143732.95144981</v>
      </c>
      <c r="P72" s="588">
        <v>131920.77466842101</v>
      </c>
      <c r="Q72" s="588">
        <v>86047.779963782799</v>
      </c>
      <c r="R72" s="588">
        <v>1003573.87876207</v>
      </c>
      <c r="S72" s="592">
        <v>0</v>
      </c>
      <c r="T72" s="592">
        <v>0</v>
      </c>
      <c r="U72" s="592">
        <v>8644.5894055427507</v>
      </c>
      <c r="V72" s="592">
        <v>0</v>
      </c>
      <c r="W72" s="592">
        <v>0</v>
      </c>
      <c r="X72" s="592">
        <v>0</v>
      </c>
      <c r="Y72" s="592">
        <v>0</v>
      </c>
      <c r="Z72" s="592">
        <v>0</v>
      </c>
      <c r="AA72" s="592">
        <v>1826068.66853542</v>
      </c>
      <c r="AB72" s="592">
        <v>0</v>
      </c>
      <c r="AC72" s="592">
        <v>3255367.26915529</v>
      </c>
      <c r="AD72" s="592">
        <v>0</v>
      </c>
      <c r="AE72" s="592">
        <v>871110.42430803599</v>
      </c>
      <c r="AF72" s="592">
        <v>77164697.314688995</v>
      </c>
      <c r="AG72" s="592">
        <v>49757613.254538603</v>
      </c>
      <c r="AH72" s="592">
        <v>0</v>
      </c>
      <c r="AI72" s="592">
        <v>0</v>
      </c>
      <c r="AJ72" s="460">
        <v>8.2038532703156405E-2</v>
      </c>
      <c r="AK72" s="460">
        <v>0</v>
      </c>
      <c r="AL72" s="460">
        <v>8.1722278017909697E-2</v>
      </c>
      <c r="AM72" s="460">
        <v>5.4110021633720903E-2</v>
      </c>
      <c r="AN72" s="460">
        <v>6.1633299562131698E-2</v>
      </c>
      <c r="AO72" s="460">
        <v>3.4021043177942897E-2</v>
      </c>
      <c r="AP72" s="460">
        <v>0.21234044042115199</v>
      </c>
      <c r="AQ72" s="460">
        <v>3.1625468524668402E-4</v>
      </c>
      <c r="AR72" s="460">
        <v>2.7928511069435499E-2</v>
      </c>
      <c r="AS72" s="460">
        <v>2.0405233141024801E-2</v>
      </c>
      <c r="AT72" s="460">
        <v>4.8017489525213501E-2</v>
      </c>
      <c r="AU72" s="460">
        <v>0</v>
      </c>
      <c r="AV72" s="460">
        <v>0</v>
      </c>
      <c r="AW72" s="460">
        <v>0</v>
      </c>
      <c r="AX72" s="460">
        <v>0</v>
      </c>
      <c r="AY72" s="460">
        <v>-0.13030190771799599</v>
      </c>
      <c r="AZ72" s="460">
        <v>0</v>
      </c>
    </row>
    <row r="73" spans="1:52" x14ac:dyDescent="0.2">
      <c r="A73" s="588" t="s">
        <v>430</v>
      </c>
      <c r="B73" s="588" t="s">
        <v>233</v>
      </c>
      <c r="C73" s="588" t="s">
        <v>30</v>
      </c>
      <c r="D73" s="588">
        <v>14294323.230116701</v>
      </c>
      <c r="E73" s="588">
        <v>373.78365007624802</v>
      </c>
      <c r="F73" s="589">
        <v>1.5015483366667099</v>
      </c>
      <c r="G73" s="589">
        <v>2.0925562897093801</v>
      </c>
      <c r="H73" s="588">
        <v>0</v>
      </c>
      <c r="I73" s="588">
        <v>6239420.4296141602</v>
      </c>
      <c r="J73" s="588">
        <v>4155324.3923303098</v>
      </c>
      <c r="K73" s="588">
        <v>2981721.6675594002</v>
      </c>
      <c r="L73" s="460">
        <v>1231591.42236497</v>
      </c>
      <c r="M73" s="460">
        <v>1887905.74848687</v>
      </c>
      <c r="N73" s="460">
        <v>3119497.1708518402</v>
      </c>
      <c r="O73" s="588">
        <v>111681.743386032</v>
      </c>
      <c r="P73" s="588">
        <v>72108.117426625002</v>
      </c>
      <c r="Q73" s="588">
        <v>36621.420100900497</v>
      </c>
      <c r="R73" s="588">
        <v>988964.95197826298</v>
      </c>
      <c r="S73" s="592">
        <v>0</v>
      </c>
      <c r="T73" s="592">
        <v>0</v>
      </c>
      <c r="U73" s="592">
        <v>22215.189473154202</v>
      </c>
      <c r="V73" s="592">
        <v>0</v>
      </c>
      <c r="W73" s="592">
        <v>0</v>
      </c>
      <c r="X73" s="592">
        <v>0</v>
      </c>
      <c r="Y73" s="592">
        <v>0</v>
      </c>
      <c r="Z73" s="592">
        <v>0</v>
      </c>
      <c r="AA73" s="592">
        <v>1887905.74848687</v>
      </c>
      <c r="AB73" s="592">
        <v>0</v>
      </c>
      <c r="AC73" s="592">
        <v>3692325.9816696001</v>
      </c>
      <c r="AD73" s="592">
        <v>0</v>
      </c>
      <c r="AE73" s="592">
        <v>1081375.9529895701</v>
      </c>
      <c r="AF73" s="592">
        <v>95287056.784364194</v>
      </c>
      <c r="AG73" s="592">
        <v>62939699.301966898</v>
      </c>
      <c r="AH73" s="592">
        <v>0</v>
      </c>
      <c r="AI73" s="592">
        <v>0</v>
      </c>
      <c r="AJ73" s="460">
        <v>9.9133305351193093E-2</v>
      </c>
      <c r="AK73" s="460">
        <v>0</v>
      </c>
      <c r="AL73" s="460">
        <v>6.6020722031006701E-2</v>
      </c>
      <c r="AM73" s="460">
        <v>4.6452922438318098E-2</v>
      </c>
      <c r="AN73" s="460">
        <v>4.7374259817384003E-2</v>
      </c>
      <c r="AO73" s="460">
        <v>2.7806460224695299E-2</v>
      </c>
      <c r="AP73" s="460">
        <v>0.20752572143870501</v>
      </c>
      <c r="AQ73" s="460">
        <v>3.3112583320186302E-2</v>
      </c>
      <c r="AR73" s="460">
        <v>5.2680382912875003E-2</v>
      </c>
      <c r="AS73" s="460">
        <v>5.1759045533809098E-2</v>
      </c>
      <c r="AT73" s="460">
        <v>7.1326845126497798E-2</v>
      </c>
      <c r="AU73" s="460">
        <v>0</v>
      </c>
      <c r="AV73" s="460">
        <v>0</v>
      </c>
      <c r="AW73" s="460">
        <v>0</v>
      </c>
      <c r="AX73" s="460">
        <v>0</v>
      </c>
      <c r="AY73" s="460">
        <v>-0.108392416087512</v>
      </c>
      <c r="AZ73" s="460">
        <v>0</v>
      </c>
    </row>
    <row r="74" spans="1:52" x14ac:dyDescent="0.2">
      <c r="A74" s="588" t="s">
        <v>431</v>
      </c>
      <c r="B74" s="588" t="s">
        <v>233</v>
      </c>
      <c r="C74" s="588" t="s">
        <v>31</v>
      </c>
      <c r="D74" s="588">
        <v>11132915.4098361</v>
      </c>
      <c r="E74" s="588">
        <v>339.69549116457301</v>
      </c>
      <c r="F74" s="589">
        <v>1.0139282318782601</v>
      </c>
      <c r="G74" s="589">
        <v>1.3834681604900601</v>
      </c>
      <c r="H74" s="588">
        <v>0</v>
      </c>
      <c r="I74" s="588">
        <v>2813557.0994636798</v>
      </c>
      <c r="J74" s="588">
        <v>2774907.5437535401</v>
      </c>
      <c r="K74" s="588">
        <v>2033698.48314185</v>
      </c>
      <c r="L74" s="460">
        <v>1160826.0622686699</v>
      </c>
      <c r="M74" s="460">
        <v>941587.55646157102</v>
      </c>
      <c r="N74" s="460">
        <v>2102413.61873024</v>
      </c>
      <c r="O74" s="588">
        <v>97446.116607136297</v>
      </c>
      <c r="P74" s="588">
        <v>66047.430256636406</v>
      </c>
      <c r="Q74" s="588">
        <v>25242.600300825299</v>
      </c>
      <c r="R74" s="588">
        <v>960953.82908159203</v>
      </c>
      <c r="S74" s="592">
        <v>0</v>
      </c>
      <c r="T74" s="592">
        <v>0</v>
      </c>
      <c r="U74" s="592">
        <v>11136.086022482899</v>
      </c>
      <c r="V74" s="592">
        <v>0</v>
      </c>
      <c r="W74" s="592">
        <v>0</v>
      </c>
      <c r="X74" s="592">
        <v>0</v>
      </c>
      <c r="Y74" s="592">
        <v>0</v>
      </c>
      <c r="Z74" s="592">
        <v>0</v>
      </c>
      <c r="AA74" s="592">
        <v>941587.55646157102</v>
      </c>
      <c r="AB74" s="592">
        <v>0</v>
      </c>
      <c r="AC74" s="592">
        <v>2099248.87348674</v>
      </c>
      <c r="AD74" s="592">
        <v>0</v>
      </c>
      <c r="AE74" s="592">
        <v>694596.81781589601</v>
      </c>
      <c r="AF74" s="592">
        <v>44991721.656648301</v>
      </c>
      <c r="AG74" s="592">
        <v>29244620.149507601</v>
      </c>
      <c r="AH74" s="592">
        <v>0</v>
      </c>
      <c r="AI74" s="592">
        <v>0</v>
      </c>
      <c r="AJ74" s="460">
        <v>9.6207681449780993E-2</v>
      </c>
      <c r="AK74" s="460">
        <v>0</v>
      </c>
      <c r="AL74" s="460">
        <v>9.4886086041376203E-2</v>
      </c>
      <c r="AM74" s="460">
        <v>5.5192424221384401E-2</v>
      </c>
      <c r="AN74" s="460">
        <v>6.9540943693060298E-2</v>
      </c>
      <c r="AO74" s="460">
        <v>2.9847281873068499E-2</v>
      </c>
      <c r="AP74" s="460">
        <v>0.22230241820261201</v>
      </c>
      <c r="AQ74" s="460">
        <v>1.32159540840483E-3</v>
      </c>
      <c r="AR74" s="460">
        <v>4.10152572283966E-2</v>
      </c>
      <c r="AS74" s="460">
        <v>2.6666737756720699E-2</v>
      </c>
      <c r="AT74" s="460">
        <v>6.6360399576712498E-2</v>
      </c>
      <c r="AU74" s="460">
        <v>0</v>
      </c>
      <c r="AV74" s="460">
        <v>0</v>
      </c>
      <c r="AW74" s="460">
        <v>0</v>
      </c>
      <c r="AX74" s="460">
        <v>0</v>
      </c>
      <c r="AY74" s="460">
        <v>-0.126094736752831</v>
      </c>
      <c r="AZ74" s="460">
        <v>0</v>
      </c>
    </row>
    <row r="75" spans="1:52" x14ac:dyDescent="0.2">
      <c r="A75" s="588" t="s">
        <v>432</v>
      </c>
      <c r="B75" s="588" t="s">
        <v>233</v>
      </c>
      <c r="C75" s="588" t="s">
        <v>32</v>
      </c>
      <c r="D75" s="588">
        <v>12486643.65</v>
      </c>
      <c r="E75" s="588">
        <v>396.04336875000001</v>
      </c>
      <c r="F75" s="589">
        <v>1.8640588039458901</v>
      </c>
      <c r="G75" s="589">
        <v>2.1615213683865502</v>
      </c>
      <c r="H75" s="588">
        <v>0</v>
      </c>
      <c r="I75" s="588">
        <v>3230111.81531103</v>
      </c>
      <c r="J75" s="588">
        <v>1732837.93862803</v>
      </c>
      <c r="K75" s="588">
        <v>1494369.5965967299</v>
      </c>
      <c r="L75" s="460">
        <v>517649.62556385202</v>
      </c>
      <c r="M75" s="460">
        <v>1053610.2973125</v>
      </c>
      <c r="N75" s="460">
        <v>1571259.9228763501</v>
      </c>
      <c r="O75" s="588">
        <v>55793.382543670501</v>
      </c>
      <c r="P75" s="588">
        <v>82220.723900885394</v>
      </c>
      <c r="Q75" s="588">
        <v>12303.7272020662</v>
      </c>
      <c r="R75" s="588">
        <v>356195.70589474699</v>
      </c>
      <c r="S75" s="592">
        <v>0</v>
      </c>
      <c r="T75" s="592">
        <v>0</v>
      </c>
      <c r="U75" s="592">
        <v>11136.086022482899</v>
      </c>
      <c r="V75" s="592">
        <v>0</v>
      </c>
      <c r="W75" s="592">
        <v>0</v>
      </c>
      <c r="X75" s="592">
        <v>0</v>
      </c>
      <c r="Y75" s="592">
        <v>0</v>
      </c>
      <c r="Z75" s="592">
        <v>0</v>
      </c>
      <c r="AA75" s="592">
        <v>1053610.2973125</v>
      </c>
      <c r="AB75" s="592">
        <v>0</v>
      </c>
      <c r="AC75" s="592">
        <v>1336624.8050732401</v>
      </c>
      <c r="AD75" s="592">
        <v>0</v>
      </c>
      <c r="AE75" s="592">
        <v>126563.063169177</v>
      </c>
      <c r="AF75" s="592">
        <v>53033543.874454603</v>
      </c>
      <c r="AG75" s="592">
        <v>36363069.232766703</v>
      </c>
      <c r="AH75" s="592">
        <v>0</v>
      </c>
      <c r="AI75" s="592">
        <v>0</v>
      </c>
      <c r="AJ75" s="460">
        <v>8.8829460314103104E-2</v>
      </c>
      <c r="AK75" s="460">
        <v>0</v>
      </c>
      <c r="AL75" s="460">
        <v>4.76537865254393E-2</v>
      </c>
      <c r="AM75" s="460">
        <v>3.3418199802814699E-2</v>
      </c>
      <c r="AN75" s="460">
        <v>4.1095804840647503E-2</v>
      </c>
      <c r="AO75" s="460">
        <v>2.6860218118022899E-2</v>
      </c>
      <c r="AP75" s="460">
        <v>0.195127010668282</v>
      </c>
      <c r="AQ75" s="460">
        <v>4.1175673788663797E-2</v>
      </c>
      <c r="AR75" s="460">
        <v>5.5411260511288397E-2</v>
      </c>
      <c r="AS75" s="460">
        <v>4.7733655473455601E-2</v>
      </c>
      <c r="AT75" s="460">
        <v>6.1969242196080201E-2</v>
      </c>
      <c r="AU75" s="460">
        <v>0</v>
      </c>
      <c r="AV75" s="460">
        <v>0</v>
      </c>
      <c r="AW75" s="460">
        <v>0</v>
      </c>
      <c r="AX75" s="460">
        <v>0</v>
      </c>
      <c r="AY75" s="460">
        <v>-0.106297550354179</v>
      </c>
      <c r="AZ75" s="460">
        <v>0</v>
      </c>
    </row>
    <row r="76" spans="1:52" x14ac:dyDescent="0.2">
      <c r="A76" s="588" t="s">
        <v>424</v>
      </c>
      <c r="B76" s="588" t="s">
        <v>231</v>
      </c>
      <c r="C76" s="588" t="s">
        <v>35</v>
      </c>
      <c r="D76" s="588">
        <v>359891.44544835598</v>
      </c>
      <c r="E76" s="588">
        <v>64.959514417367998</v>
      </c>
      <c r="F76" s="589">
        <v>0.155688473781912</v>
      </c>
      <c r="G76" s="589">
        <v>0.166431803652828</v>
      </c>
      <c r="H76" s="588">
        <v>581.59150185459805</v>
      </c>
      <c r="I76" s="588">
        <v>160339.90527670199</v>
      </c>
      <c r="J76" s="588">
        <v>1033612.14140987</v>
      </c>
      <c r="K76" s="588">
        <v>966891.50298601401</v>
      </c>
      <c r="L76" s="460">
        <v>626688.506959675</v>
      </c>
      <c r="M76" s="460">
        <v>366984.79648252198</v>
      </c>
      <c r="N76" s="460">
        <v>993673.30344219599</v>
      </c>
      <c r="O76" s="588">
        <v>101549.179360767</v>
      </c>
      <c r="P76" s="588">
        <v>51232.382344315803</v>
      </c>
      <c r="Q76" s="588">
        <v>0</v>
      </c>
      <c r="R76" s="588">
        <v>466531.80648790603</v>
      </c>
      <c r="S76" s="592">
        <v>0</v>
      </c>
      <c r="T76" s="592">
        <v>0</v>
      </c>
      <c r="U76" s="592">
        <v>7375.1387666856199</v>
      </c>
      <c r="V76" s="592">
        <v>0</v>
      </c>
      <c r="W76" s="592">
        <v>0</v>
      </c>
      <c r="X76" s="592">
        <v>0</v>
      </c>
      <c r="Y76" s="592">
        <v>113510.673846522</v>
      </c>
      <c r="Z76" s="592">
        <v>253474.12263599999</v>
      </c>
      <c r="AA76" s="592">
        <v>0</v>
      </c>
      <c r="AB76" s="592">
        <v>0</v>
      </c>
      <c r="AC76" s="592">
        <v>441005.80239600001</v>
      </c>
      <c r="AD76" s="592">
        <v>8477.217858</v>
      </c>
      <c r="AE76" s="592">
        <v>49498.936229797997</v>
      </c>
      <c r="AF76" s="592">
        <v>2317205.2602585098</v>
      </c>
      <c r="AG76" s="592">
        <v>1505283.94734596</v>
      </c>
      <c r="AH76" s="592">
        <v>-7.0077864684968502E-2</v>
      </c>
      <c r="AI76" s="592">
        <v>35.966150412340099</v>
      </c>
      <c r="AJ76" s="460">
        <v>0.10651804635225499</v>
      </c>
      <c r="AK76" s="460">
        <v>16.170524095207401</v>
      </c>
      <c r="AL76" s="460">
        <v>0.68417426007698601</v>
      </c>
      <c r="AM76" s="460">
        <v>0.269353140654915</v>
      </c>
      <c r="AN76" s="460">
        <v>0.64001016641295405</v>
      </c>
      <c r="AO76" s="460">
        <v>0.22518904699088299</v>
      </c>
      <c r="AP76" s="460">
        <v>0.79636256662511895</v>
      </c>
      <c r="AQ76" s="460">
        <v>-0.57765621372473097</v>
      </c>
      <c r="AR76" s="460">
        <v>-0.16283509430266099</v>
      </c>
      <c r="AS76" s="460">
        <v>-0.53349212006069902</v>
      </c>
      <c r="AT76" s="460">
        <v>-0.118671000638628</v>
      </c>
      <c r="AU76" s="460">
        <v>-87.694095438930205</v>
      </c>
      <c r="AV76" s="460">
        <v>-24.720025443004999</v>
      </c>
      <c r="AW76" s="460">
        <v>-80.989536303705506</v>
      </c>
      <c r="AX76" s="460">
        <v>-18.0154663077804</v>
      </c>
      <c r="AY76" s="460">
        <v>-0.68984452027286403</v>
      </c>
      <c r="AZ76" s="460">
        <v>-104.72542277137001</v>
      </c>
    </row>
    <row r="77" spans="1:52" x14ac:dyDescent="0.2">
      <c r="A77" s="588" t="s">
        <v>439</v>
      </c>
      <c r="B77" s="588" t="s">
        <v>229</v>
      </c>
      <c r="C77" s="588" t="s">
        <v>218</v>
      </c>
      <c r="D77" s="588">
        <v>4775964.8406542595</v>
      </c>
      <c r="E77" s="588">
        <v>1357.36606237608</v>
      </c>
      <c r="F77" s="589">
        <v>0.63574825461098905</v>
      </c>
      <c r="G77" s="589">
        <v>1.03446347157781</v>
      </c>
      <c r="H77" s="588">
        <v>0</v>
      </c>
      <c r="I77" s="588">
        <v>2344264.4009687002</v>
      </c>
      <c r="J77" s="588">
        <v>3687409.8890026002</v>
      </c>
      <c r="K77" s="588">
        <v>2266164.5049613402</v>
      </c>
      <c r="L77" s="460">
        <v>1843304.7792106799</v>
      </c>
      <c r="M77" s="460">
        <v>456148.51194092003</v>
      </c>
      <c r="N77" s="460">
        <v>2299453.2911516</v>
      </c>
      <c r="O77" s="588">
        <v>94331.623871276402</v>
      </c>
      <c r="P77" s="588">
        <v>37873.9410065743</v>
      </c>
      <c r="Q77" s="588">
        <v>27308.5893940116</v>
      </c>
      <c r="R77" s="588">
        <v>1683790.62493882</v>
      </c>
      <c r="S77" s="592">
        <v>0</v>
      </c>
      <c r="T77" s="592">
        <v>0</v>
      </c>
      <c r="U77" s="592">
        <v>0</v>
      </c>
      <c r="V77" s="592">
        <v>0</v>
      </c>
      <c r="W77" s="592">
        <v>0</v>
      </c>
      <c r="X77" s="592">
        <v>0</v>
      </c>
      <c r="Y77" s="592">
        <v>0</v>
      </c>
      <c r="Z77" s="592">
        <v>0</v>
      </c>
      <c r="AA77" s="592">
        <v>456148.51194092003</v>
      </c>
      <c r="AB77" s="592">
        <v>0</v>
      </c>
      <c r="AC77" s="592">
        <v>2244389.3659990402</v>
      </c>
      <c r="AD77" s="592">
        <v>0</v>
      </c>
      <c r="AE77" s="592">
        <v>1420910.61610919</v>
      </c>
      <c r="AF77" s="592">
        <v>28986645.838124398</v>
      </c>
      <c r="AG77" s="592">
        <v>24111234.9173881</v>
      </c>
      <c r="AH77" s="592">
        <v>0</v>
      </c>
      <c r="AI77" s="592">
        <v>0</v>
      </c>
      <c r="AJ77" s="460">
        <v>9.7227056556863103E-2</v>
      </c>
      <c r="AK77" s="460">
        <v>0</v>
      </c>
      <c r="AL77" s="460">
        <v>0.15293326541078101</v>
      </c>
      <c r="AM77" s="460">
        <v>7.6483229337292E-2</v>
      </c>
      <c r="AN77" s="460">
        <v>9.3987906995467399E-2</v>
      </c>
      <c r="AO77" s="460">
        <v>1.7537870921978501E-2</v>
      </c>
      <c r="AP77" s="460">
        <v>0.251767121678173</v>
      </c>
      <c r="AQ77" s="460">
        <v>-5.5706208853917798E-2</v>
      </c>
      <c r="AR77" s="460">
        <v>2.07438272195711E-2</v>
      </c>
      <c r="AS77" s="460">
        <v>3.2391495613957101E-3</v>
      </c>
      <c r="AT77" s="460">
        <v>7.9689185634884599E-2</v>
      </c>
      <c r="AU77" s="460">
        <v>0</v>
      </c>
      <c r="AV77" s="460">
        <v>0</v>
      </c>
      <c r="AW77" s="460">
        <v>0</v>
      </c>
      <c r="AX77" s="460">
        <v>0</v>
      </c>
      <c r="AY77" s="460">
        <v>-0.15454006512130999</v>
      </c>
      <c r="AZ77" s="460">
        <v>0</v>
      </c>
    </row>
    <row r="78" spans="1:52" x14ac:dyDescent="0.2">
      <c r="A78" s="588" t="s">
        <v>425</v>
      </c>
      <c r="B78" s="588" t="s">
        <v>229</v>
      </c>
      <c r="C78" s="588" t="s">
        <v>36</v>
      </c>
      <c r="D78" s="588">
        <v>10940289.610764001</v>
      </c>
      <c r="E78" s="588">
        <v>405.79424999999998</v>
      </c>
      <c r="F78" s="589">
        <v>1.34204300925938</v>
      </c>
      <c r="G78" s="589">
        <v>4.1540196349265202</v>
      </c>
      <c r="H78" s="588">
        <v>0</v>
      </c>
      <c r="I78" s="588">
        <v>7219973.5299517298</v>
      </c>
      <c r="J78" s="588">
        <v>5379837.6655128002</v>
      </c>
      <c r="K78" s="588">
        <v>1738069.1870705299</v>
      </c>
      <c r="L78" s="460">
        <v>870290.98417588102</v>
      </c>
      <c r="M78" s="460">
        <v>936092.30636111996</v>
      </c>
      <c r="N78" s="460">
        <v>1806383.2905369999</v>
      </c>
      <c r="O78" s="588">
        <v>64774.184157630203</v>
      </c>
      <c r="P78" s="588">
        <v>103701.716791452</v>
      </c>
      <c r="Q78" s="588">
        <v>13352.764215112</v>
      </c>
      <c r="R78" s="588">
        <v>577406.40222005197</v>
      </c>
      <c r="S78" s="592">
        <v>0</v>
      </c>
      <c r="T78" s="592">
        <v>0</v>
      </c>
      <c r="U78" s="592">
        <v>111055.91679163399</v>
      </c>
      <c r="V78" s="592">
        <v>0</v>
      </c>
      <c r="W78" s="592">
        <v>0</v>
      </c>
      <c r="X78" s="592">
        <v>0</v>
      </c>
      <c r="Y78" s="592">
        <v>0</v>
      </c>
      <c r="Z78" s="592">
        <v>0</v>
      </c>
      <c r="AA78" s="592">
        <v>936092.30636111996</v>
      </c>
      <c r="AB78" s="592">
        <v>0</v>
      </c>
      <c r="AC78" s="592">
        <v>5502745.0158348</v>
      </c>
      <c r="AD78" s="592">
        <v>0</v>
      </c>
      <c r="AE78" s="592">
        <v>3653322.1675789398</v>
      </c>
      <c r="AF78" s="592">
        <v>57224099.563025102</v>
      </c>
      <c r="AG78" s="592">
        <v>48640484.628571399</v>
      </c>
      <c r="AH78" s="592">
        <v>0</v>
      </c>
      <c r="AI78" s="592">
        <v>0</v>
      </c>
      <c r="AJ78" s="460">
        <v>0.14843547684783401</v>
      </c>
      <c r="AK78" s="460">
        <v>0</v>
      </c>
      <c r="AL78" s="460">
        <v>0.11060411314966</v>
      </c>
      <c r="AM78" s="460">
        <v>9.2711795858382906E-2</v>
      </c>
      <c r="AN78" s="460">
        <v>3.57329742979079E-2</v>
      </c>
      <c r="AO78" s="460">
        <v>1.78406570066309E-2</v>
      </c>
      <c r="AP78" s="460">
        <v>0.18975156249073299</v>
      </c>
      <c r="AQ78" s="460">
        <v>3.7831363698174199E-2</v>
      </c>
      <c r="AR78" s="460">
        <v>5.5723680989451199E-2</v>
      </c>
      <c r="AS78" s="460">
        <v>0.112702502549926</v>
      </c>
      <c r="AT78" s="460">
        <v>0.130594819841203</v>
      </c>
      <c r="AU78" s="460">
        <v>0</v>
      </c>
      <c r="AV78" s="460">
        <v>0</v>
      </c>
      <c r="AW78" s="460">
        <v>0</v>
      </c>
      <c r="AX78" s="460">
        <v>0</v>
      </c>
      <c r="AY78" s="460">
        <v>-4.1316085642899E-2</v>
      </c>
      <c r="AZ78" s="460">
        <v>0</v>
      </c>
    </row>
    <row r="79" spans="1:52" x14ac:dyDescent="0.2">
      <c r="A79" s="588" t="s">
        <v>441</v>
      </c>
      <c r="B79" s="588" t="s">
        <v>231</v>
      </c>
      <c r="C79" s="588" t="s">
        <v>216</v>
      </c>
      <c r="D79" s="588">
        <v>6154394.5234200004</v>
      </c>
      <c r="E79" s="588">
        <v>366.64417155299998</v>
      </c>
      <c r="F79" s="589">
        <v>1.5745517695253599</v>
      </c>
      <c r="G79" s="589">
        <v>2.1803721590154699</v>
      </c>
      <c r="H79" s="588">
        <v>0</v>
      </c>
      <c r="I79" s="588">
        <v>2389419.0734729101</v>
      </c>
      <c r="J79" s="588">
        <v>1517523.34837056</v>
      </c>
      <c r="K79" s="588">
        <v>1095876.7124195099</v>
      </c>
      <c r="L79" s="460">
        <v>576520.11633321398</v>
      </c>
      <c r="M79" s="460">
        <v>560241.90540000005</v>
      </c>
      <c r="N79" s="460">
        <v>1136762.02173321</v>
      </c>
      <c r="O79" s="588">
        <v>48228.635350383498</v>
      </c>
      <c r="P79" s="588">
        <v>39011.549911366899</v>
      </c>
      <c r="Q79" s="588">
        <v>45679.152360603599</v>
      </c>
      <c r="R79" s="588">
        <v>443600.77871085901</v>
      </c>
      <c r="S79" s="592">
        <v>0</v>
      </c>
      <c r="T79" s="592">
        <v>0</v>
      </c>
      <c r="U79" s="592">
        <v>0</v>
      </c>
      <c r="V79" s="592">
        <v>0</v>
      </c>
      <c r="W79" s="592">
        <v>0</v>
      </c>
      <c r="X79" s="592">
        <v>0</v>
      </c>
      <c r="Y79" s="592">
        <v>0</v>
      </c>
      <c r="Z79" s="592">
        <v>0</v>
      </c>
      <c r="AA79" s="592">
        <v>560241.90540000005</v>
      </c>
      <c r="AB79" s="592">
        <v>0</v>
      </c>
      <c r="AC79" s="592">
        <v>708675.04305606498</v>
      </c>
      <c r="AD79" s="592">
        <v>0</v>
      </c>
      <c r="AE79" s="592">
        <v>88957.042696803997</v>
      </c>
      <c r="AF79" s="592">
        <v>33099700.094938401</v>
      </c>
      <c r="AG79" s="592">
        <v>25442619.157105099</v>
      </c>
      <c r="AH79" s="592">
        <v>0</v>
      </c>
      <c r="AI79" s="592">
        <v>0</v>
      </c>
      <c r="AJ79" s="460">
        <v>9.3914036865407904E-2</v>
      </c>
      <c r="AK79" s="460">
        <v>0</v>
      </c>
      <c r="AL79" s="460">
        <v>5.96449343127778E-2</v>
      </c>
      <c r="AM79" s="460">
        <v>3.6985312959595902E-2</v>
      </c>
      <c r="AN79" s="460">
        <v>4.3072480299791598E-2</v>
      </c>
      <c r="AO79" s="460">
        <v>2.04128589466098E-2</v>
      </c>
      <c r="AP79" s="460">
        <v>0.20017641220250601</v>
      </c>
      <c r="AQ79" s="460">
        <v>3.4269102552630201E-2</v>
      </c>
      <c r="AR79" s="460">
        <v>5.6928723905812002E-2</v>
      </c>
      <c r="AS79" s="460">
        <v>5.08415565656163E-2</v>
      </c>
      <c r="AT79" s="460">
        <v>7.3501177918798205E-2</v>
      </c>
      <c r="AU79" s="460">
        <v>0</v>
      </c>
      <c r="AV79" s="460">
        <v>0</v>
      </c>
      <c r="AW79" s="460">
        <v>0</v>
      </c>
      <c r="AX79" s="460">
        <v>0</v>
      </c>
      <c r="AY79" s="460">
        <v>-0.10626237533709799</v>
      </c>
      <c r="AZ79" s="460">
        <v>0</v>
      </c>
    </row>
    <row r="80" spans="1:52" x14ac:dyDescent="0.2">
      <c r="A80" s="588" t="s">
        <v>435</v>
      </c>
      <c r="B80" s="588" t="s">
        <v>233</v>
      </c>
      <c r="C80" s="588" t="s">
        <v>217</v>
      </c>
      <c r="D80" s="588">
        <v>9310397.8430501707</v>
      </c>
      <c r="E80" s="588">
        <v>1416.68162512607</v>
      </c>
      <c r="F80" s="589">
        <v>1.2123104812057599</v>
      </c>
      <c r="G80" s="589">
        <v>2.6486629873443599</v>
      </c>
      <c r="H80" s="588">
        <v>0</v>
      </c>
      <c r="I80" s="588">
        <v>4525709.6505157696</v>
      </c>
      <c r="J80" s="588">
        <v>3733127.5450283298</v>
      </c>
      <c r="K80" s="588">
        <v>1708677.0465477</v>
      </c>
      <c r="L80" s="460">
        <v>949810.39565753599</v>
      </c>
      <c r="M80" s="460">
        <v>818606.91024819296</v>
      </c>
      <c r="N80" s="460">
        <v>1768417.30590573</v>
      </c>
      <c r="O80" s="588">
        <v>73523.478997763901</v>
      </c>
      <c r="P80" s="588">
        <v>44353.673415101599</v>
      </c>
      <c r="Q80" s="588">
        <v>51351.1152006103</v>
      </c>
      <c r="R80" s="588">
        <v>654662.26118731499</v>
      </c>
      <c r="S80" s="592">
        <v>0</v>
      </c>
      <c r="T80" s="592">
        <v>0</v>
      </c>
      <c r="U80" s="592">
        <v>125919.866856744</v>
      </c>
      <c r="V80" s="592">
        <v>0</v>
      </c>
      <c r="W80" s="592">
        <v>0</v>
      </c>
      <c r="X80" s="592">
        <v>0</v>
      </c>
      <c r="Y80" s="592">
        <v>0</v>
      </c>
      <c r="Z80" s="592">
        <v>0</v>
      </c>
      <c r="AA80" s="592">
        <v>818606.91024819296</v>
      </c>
      <c r="AB80" s="592">
        <v>0</v>
      </c>
      <c r="AC80" s="592">
        <v>3392187.526087</v>
      </c>
      <c r="AD80" s="592">
        <v>0</v>
      </c>
      <c r="AE80" s="592">
        <v>2014211.9387681701</v>
      </c>
      <c r="AF80" s="592">
        <v>57815071.560571</v>
      </c>
      <c r="AG80" s="592">
        <v>46306209.525176004</v>
      </c>
      <c r="AH80" s="592">
        <v>0</v>
      </c>
      <c r="AI80" s="592">
        <v>0</v>
      </c>
      <c r="AJ80" s="460">
        <v>9.7734400999831605E-2</v>
      </c>
      <c r="AK80" s="460">
        <v>0</v>
      </c>
      <c r="AL80" s="460">
        <v>8.06182925207619E-2</v>
      </c>
      <c r="AM80" s="460">
        <v>6.0106780017430403E-2</v>
      </c>
      <c r="AN80" s="460">
        <v>3.6899523067607597E-2</v>
      </c>
      <c r="AO80" s="460">
        <v>1.63880105642761E-2</v>
      </c>
      <c r="AP80" s="460">
        <v>0.194958584901261</v>
      </c>
      <c r="AQ80" s="460">
        <v>1.7116108479069699E-2</v>
      </c>
      <c r="AR80" s="460">
        <v>3.7627620982401098E-2</v>
      </c>
      <c r="AS80" s="460">
        <v>6.0834877932224002E-2</v>
      </c>
      <c r="AT80" s="460">
        <v>8.1346390435555499E-2</v>
      </c>
      <c r="AU80" s="460">
        <v>0</v>
      </c>
      <c r="AV80" s="460">
        <v>0</v>
      </c>
      <c r="AW80" s="460">
        <v>0</v>
      </c>
      <c r="AX80" s="460">
        <v>0</v>
      </c>
      <c r="AY80" s="460">
        <v>-9.7224183901429798E-2</v>
      </c>
      <c r="AZ80" s="460">
        <v>0</v>
      </c>
    </row>
    <row r="81" spans="1:52" x14ac:dyDescent="0.2">
      <c r="A81" s="588" t="s">
        <v>545</v>
      </c>
      <c r="B81" s="588" t="s">
        <v>228</v>
      </c>
      <c r="C81" s="588" t="s">
        <v>546</v>
      </c>
      <c r="D81" s="588">
        <v>94458964.956478104</v>
      </c>
      <c r="E81" s="588">
        <v>40623.279685560599</v>
      </c>
      <c r="F81" s="589">
        <v>1.6121258727271901</v>
      </c>
      <c r="G81" s="589">
        <v>2.2934759365491999</v>
      </c>
      <c r="H81" s="588">
        <v>0</v>
      </c>
      <c r="I81" s="588">
        <v>74117687.702110305</v>
      </c>
      <c r="J81" s="588">
        <v>45975124.496158302</v>
      </c>
      <c r="K81" s="588">
        <v>32316749.664105501</v>
      </c>
      <c r="L81" s="460">
        <v>5000000</v>
      </c>
      <c r="M81" s="460">
        <v>29467206.147912901</v>
      </c>
      <c r="N81" s="460">
        <v>34467206.147912897</v>
      </c>
      <c r="O81" s="588">
        <v>1000000</v>
      </c>
      <c r="P81" s="588">
        <v>1000000</v>
      </c>
      <c r="Q81" s="588">
        <v>0</v>
      </c>
      <c r="R81" s="588">
        <v>3000000</v>
      </c>
      <c r="S81" s="592">
        <v>0</v>
      </c>
      <c r="T81" s="592">
        <v>0</v>
      </c>
      <c r="U81" s="592">
        <v>0</v>
      </c>
      <c r="V81" s="592">
        <v>0</v>
      </c>
      <c r="W81" s="592">
        <v>0</v>
      </c>
      <c r="X81" s="592">
        <v>0</v>
      </c>
      <c r="Y81" s="592">
        <v>0</v>
      </c>
      <c r="Z81" s="592">
        <v>0</v>
      </c>
      <c r="AA81" s="592">
        <v>29467206.147912901</v>
      </c>
      <c r="AB81" s="592">
        <v>0</v>
      </c>
      <c r="AC81" s="592">
        <v>44200809.221869297</v>
      </c>
      <c r="AD81" s="592">
        <v>0</v>
      </c>
      <c r="AE81" s="592">
        <v>12523562.612863</v>
      </c>
      <c r="AF81" s="592">
        <v>642629283.47472596</v>
      </c>
      <c r="AG81" s="592">
        <v>578366355.12725306</v>
      </c>
      <c r="AH81" s="592">
        <v>0</v>
      </c>
      <c r="AI81" s="592">
        <v>0</v>
      </c>
      <c r="AJ81" s="460">
        <v>0.12815006793713399</v>
      </c>
      <c r="AK81" s="460">
        <v>0</v>
      </c>
      <c r="AL81" s="460">
        <v>7.9491353687132699E-2</v>
      </c>
      <c r="AM81" s="460">
        <v>7.0846314162141905E-2</v>
      </c>
      <c r="AN81" s="460">
        <v>5.5875915633085402E-2</v>
      </c>
      <c r="AO81" s="460">
        <v>4.7230876108094601E-2</v>
      </c>
      <c r="AP81" s="460">
        <v>0.212242804173887</v>
      </c>
      <c r="AQ81" s="460">
        <v>4.8658714250001803E-2</v>
      </c>
      <c r="AR81" s="460">
        <v>5.7303753774992597E-2</v>
      </c>
      <c r="AS81" s="460">
        <v>7.22741523040491E-2</v>
      </c>
      <c r="AT81" s="460">
        <v>8.0919191829039894E-2</v>
      </c>
      <c r="AU81" s="460">
        <v>0</v>
      </c>
      <c r="AV81" s="460">
        <v>0</v>
      </c>
      <c r="AW81" s="460">
        <v>0</v>
      </c>
      <c r="AX81" s="460">
        <v>0</v>
      </c>
      <c r="AY81" s="460">
        <v>-8.4092736236752702E-2</v>
      </c>
      <c r="AZ81" s="460">
        <v>0</v>
      </c>
    </row>
    <row r="82" spans="1:52" x14ac:dyDescent="0.2">
      <c r="A82" s="588" t="s">
        <v>547</v>
      </c>
      <c r="B82" s="588" t="s">
        <v>228</v>
      </c>
      <c r="C82" s="588" t="s">
        <v>548</v>
      </c>
      <c r="D82" s="588">
        <v>28418776.286837</v>
      </c>
      <c r="E82" s="588">
        <v>12221.8563156337</v>
      </c>
      <c r="F82" s="589">
        <v>1.28689418016368</v>
      </c>
      <c r="G82" s="589">
        <v>1.6869519560547299</v>
      </c>
      <c r="H82" s="588">
        <v>0</v>
      </c>
      <c r="I82" s="588">
        <v>22298931.463778201</v>
      </c>
      <c r="J82" s="588">
        <v>17327711.794408798</v>
      </c>
      <c r="K82" s="588">
        <v>13218474.5296058</v>
      </c>
      <c r="L82" s="460">
        <v>5000000</v>
      </c>
      <c r="M82" s="460">
        <v>8865457.5</v>
      </c>
      <c r="N82" s="460">
        <v>13865457.5</v>
      </c>
      <c r="O82" s="588">
        <v>1000000</v>
      </c>
      <c r="P82" s="588">
        <v>1000000</v>
      </c>
      <c r="Q82" s="588">
        <v>0</v>
      </c>
      <c r="R82" s="588">
        <v>3000000</v>
      </c>
      <c r="S82" s="592">
        <v>0</v>
      </c>
      <c r="T82" s="592">
        <v>0</v>
      </c>
      <c r="U82" s="592">
        <v>0</v>
      </c>
      <c r="V82" s="592">
        <v>0</v>
      </c>
      <c r="W82" s="592">
        <v>0</v>
      </c>
      <c r="X82" s="592">
        <v>0</v>
      </c>
      <c r="Y82" s="592">
        <v>0</v>
      </c>
      <c r="Z82" s="592">
        <v>0</v>
      </c>
      <c r="AA82" s="592">
        <v>8865457.5</v>
      </c>
      <c r="AB82" s="592">
        <v>0</v>
      </c>
      <c r="AC82" s="592">
        <v>13298186.25</v>
      </c>
      <c r="AD82" s="592">
        <v>0</v>
      </c>
      <c r="AE82" s="592">
        <v>3767819.4375</v>
      </c>
      <c r="AF82" s="592">
        <v>193340439.95562699</v>
      </c>
      <c r="AG82" s="592">
        <v>174006395.96006399</v>
      </c>
      <c r="AH82" s="592">
        <v>0</v>
      </c>
      <c r="AI82" s="592">
        <v>0</v>
      </c>
      <c r="AJ82" s="460">
        <v>0.12815006793713499</v>
      </c>
      <c r="AK82" s="460">
        <v>0</v>
      </c>
      <c r="AL82" s="460">
        <v>9.9580890109267003E-2</v>
      </c>
      <c r="AM82" s="460">
        <v>7.0846314162141794E-2</v>
      </c>
      <c r="AN82" s="460">
        <v>7.5965452055219707E-2</v>
      </c>
      <c r="AO82" s="460">
        <v>4.7230876108094601E-2</v>
      </c>
      <c r="AP82" s="460">
        <v>0.23233234059602101</v>
      </c>
      <c r="AQ82" s="460">
        <v>2.8569177827867501E-2</v>
      </c>
      <c r="AR82" s="460">
        <v>5.7303753774992701E-2</v>
      </c>
      <c r="AS82" s="460">
        <v>5.2184615881914802E-2</v>
      </c>
      <c r="AT82" s="460">
        <v>8.0919191829039894E-2</v>
      </c>
      <c r="AU82" s="460">
        <v>0</v>
      </c>
      <c r="AV82" s="460">
        <v>0</v>
      </c>
      <c r="AW82" s="460">
        <v>0</v>
      </c>
      <c r="AX82" s="460">
        <v>0</v>
      </c>
      <c r="AY82" s="460">
        <v>-0.10418227265888701</v>
      </c>
      <c r="AZ82" s="460">
        <v>0</v>
      </c>
    </row>
    <row r="83" spans="1:52" s="625" customFormat="1" x14ac:dyDescent="0.2">
      <c r="A83" s="621" t="s">
        <v>549</v>
      </c>
      <c r="B83" s="621" t="s">
        <v>228</v>
      </c>
      <c r="C83" s="621" t="s">
        <v>550</v>
      </c>
      <c r="D83" s="621">
        <v>28418776.286837</v>
      </c>
      <c r="E83" s="621">
        <v>12221.8563156337</v>
      </c>
      <c r="F83" s="622">
        <v>1.29</v>
      </c>
      <c r="G83" s="622">
        <v>1.69</v>
      </c>
      <c r="H83" s="621">
        <v>0</v>
      </c>
      <c r="I83" s="621">
        <v>22298931</v>
      </c>
      <c r="J83" s="621">
        <v>17327712</v>
      </c>
      <c r="K83" s="621">
        <v>13218474.5296058</v>
      </c>
      <c r="L83" s="623">
        <v>5000000</v>
      </c>
      <c r="M83" s="623">
        <v>8865457.5</v>
      </c>
      <c r="N83" s="623">
        <v>13865457.5</v>
      </c>
      <c r="O83" s="621">
        <v>1000000</v>
      </c>
      <c r="P83" s="621">
        <v>1000000</v>
      </c>
      <c r="Q83" s="621">
        <v>0</v>
      </c>
      <c r="R83" s="621">
        <v>3000000</v>
      </c>
      <c r="S83" s="624">
        <v>0</v>
      </c>
      <c r="T83" s="624">
        <v>0</v>
      </c>
      <c r="U83" s="624">
        <v>0</v>
      </c>
      <c r="V83" s="624">
        <v>0</v>
      </c>
      <c r="W83" s="624">
        <v>0</v>
      </c>
      <c r="X83" s="624">
        <v>0</v>
      </c>
      <c r="Y83" s="624">
        <v>0</v>
      </c>
      <c r="Z83" s="624">
        <v>0</v>
      </c>
      <c r="AA83" s="624">
        <v>8865457.5</v>
      </c>
      <c r="AB83" s="624">
        <v>0</v>
      </c>
      <c r="AC83" s="624">
        <v>13298186.25</v>
      </c>
      <c r="AD83" s="624">
        <v>0</v>
      </c>
      <c r="AE83" s="624">
        <v>3767819.4375</v>
      </c>
      <c r="AF83" s="624">
        <v>193340439.95562699</v>
      </c>
      <c r="AG83" s="624">
        <v>174006395.9601</v>
      </c>
      <c r="AH83" s="624">
        <v>0</v>
      </c>
      <c r="AI83" s="624">
        <v>0</v>
      </c>
      <c r="AJ83" s="623">
        <v>0.12815006793713399</v>
      </c>
      <c r="AK83" s="623">
        <v>0</v>
      </c>
      <c r="AL83" s="623">
        <v>0.126196908302429</v>
      </c>
      <c r="AM83" s="623">
        <v>8.3095044381741104E-2</v>
      </c>
      <c r="AN83" s="623">
        <v>0.11394817808283</v>
      </c>
      <c r="AO83" s="623">
        <v>7.0846314162141794E-2</v>
      </c>
      <c r="AP83" s="623">
        <v>0.27031506662363097</v>
      </c>
      <c r="AQ83" s="623">
        <v>1.9531596347056399E-3</v>
      </c>
      <c r="AR83" s="623">
        <v>4.5055023555393398E-2</v>
      </c>
      <c r="AS83" s="623">
        <v>1.42018898543049E-2</v>
      </c>
      <c r="AT83" s="623">
        <v>5.7303753774992701E-2</v>
      </c>
      <c r="AU83" s="623">
        <v>0</v>
      </c>
      <c r="AV83" s="623">
        <v>0</v>
      </c>
      <c r="AW83" s="623">
        <v>0</v>
      </c>
      <c r="AX83" s="623">
        <v>0</v>
      </c>
      <c r="AY83" s="623">
        <v>-0.14216499868649701</v>
      </c>
      <c r="AZ83" s="623">
        <v>0</v>
      </c>
    </row>
    <row r="84" spans="1:52" x14ac:dyDescent="0.2">
      <c r="A84" s="588" t="s">
        <v>447</v>
      </c>
      <c r="B84" s="588" t="s">
        <v>225</v>
      </c>
      <c r="C84" s="588" t="s">
        <v>94</v>
      </c>
      <c r="D84" s="588">
        <v>0</v>
      </c>
      <c r="E84" s="588">
        <v>0</v>
      </c>
      <c r="F84" s="589">
        <v>0</v>
      </c>
      <c r="G84" s="589">
        <v>0</v>
      </c>
      <c r="H84" s="588">
        <v>0</v>
      </c>
      <c r="I84" s="588">
        <v>0</v>
      </c>
      <c r="J84" s="588">
        <v>4625819.2903844398</v>
      </c>
      <c r="K84" s="588">
        <v>4625819.2903844398</v>
      </c>
      <c r="L84" s="460">
        <v>4625819.2903844398</v>
      </c>
      <c r="M84" s="460">
        <v>0</v>
      </c>
      <c r="N84" s="460">
        <v>4625819.2903844398</v>
      </c>
      <c r="O84" s="588">
        <v>0</v>
      </c>
      <c r="P84" s="588">
        <v>0</v>
      </c>
      <c r="Q84" s="588">
        <v>0</v>
      </c>
      <c r="R84" s="588">
        <v>0</v>
      </c>
      <c r="S84" s="592">
        <v>0</v>
      </c>
      <c r="T84" s="592">
        <v>0</v>
      </c>
      <c r="U84" s="592">
        <v>0</v>
      </c>
      <c r="V84" s="592">
        <v>4625819.2903844398</v>
      </c>
      <c r="W84" s="592">
        <v>0</v>
      </c>
      <c r="X84" s="592">
        <v>0</v>
      </c>
      <c r="Y84" s="592">
        <v>0</v>
      </c>
      <c r="Z84" s="592">
        <v>0</v>
      </c>
      <c r="AA84" s="592">
        <v>0</v>
      </c>
      <c r="AB84" s="592">
        <v>0</v>
      </c>
      <c r="AC84" s="592">
        <v>0</v>
      </c>
      <c r="AD84" s="592">
        <v>0</v>
      </c>
      <c r="AE84" s="592">
        <v>0</v>
      </c>
      <c r="AF84" s="592">
        <v>0</v>
      </c>
      <c r="AG84" s="592">
        <v>0</v>
      </c>
      <c r="AH84" s="592">
        <v>0</v>
      </c>
      <c r="AI84" s="592">
        <v>0</v>
      </c>
      <c r="AJ84" s="460">
        <v>0</v>
      </c>
      <c r="AK84" s="460">
        <v>0</v>
      </c>
      <c r="AL84" s="460">
        <v>0</v>
      </c>
      <c r="AM84" s="460">
        <v>0</v>
      </c>
      <c r="AN84" s="460">
        <v>0</v>
      </c>
      <c r="AO84" s="460">
        <v>0</v>
      </c>
      <c r="AP84" s="460">
        <v>0</v>
      </c>
      <c r="AQ84" s="460">
        <v>0</v>
      </c>
      <c r="AR84" s="460">
        <v>0</v>
      </c>
      <c r="AS84" s="460">
        <v>0</v>
      </c>
      <c r="AT84" s="460">
        <v>0</v>
      </c>
      <c r="AU84" s="460">
        <v>0</v>
      </c>
      <c r="AV84" s="460">
        <v>0</v>
      </c>
      <c r="AW84" s="460">
        <v>0</v>
      </c>
      <c r="AX84" s="460">
        <v>0</v>
      </c>
      <c r="AY84" s="460">
        <v>0</v>
      </c>
      <c r="AZ84" s="460">
        <v>0</v>
      </c>
    </row>
    <row r="85" spans="1:52" x14ac:dyDescent="0.2">
      <c r="A85" s="588" t="s">
        <v>445</v>
      </c>
      <c r="B85" s="588" t="s">
        <v>225</v>
      </c>
      <c r="C85" s="588" t="s">
        <v>95</v>
      </c>
      <c r="D85" s="588">
        <v>0</v>
      </c>
      <c r="E85" s="588">
        <v>0</v>
      </c>
      <c r="F85" s="589">
        <v>0</v>
      </c>
      <c r="G85" s="589">
        <v>0</v>
      </c>
      <c r="H85" s="588">
        <v>0</v>
      </c>
      <c r="I85" s="588">
        <v>0</v>
      </c>
      <c r="J85" s="588">
        <v>6938728.9355766596</v>
      </c>
      <c r="K85" s="588">
        <v>6938728.9355766596</v>
      </c>
      <c r="L85" s="460">
        <v>6938728.9355766596</v>
      </c>
      <c r="M85" s="460">
        <v>0</v>
      </c>
      <c r="N85" s="460">
        <v>6938728.9355766596</v>
      </c>
      <c r="O85" s="588">
        <v>0</v>
      </c>
      <c r="P85" s="588">
        <v>0</v>
      </c>
      <c r="Q85" s="588">
        <v>0</v>
      </c>
      <c r="R85" s="588">
        <v>0</v>
      </c>
      <c r="S85" s="592">
        <v>0</v>
      </c>
      <c r="T85" s="592">
        <v>0</v>
      </c>
      <c r="U85" s="592">
        <v>0</v>
      </c>
      <c r="V85" s="592">
        <v>6938728.9355766596</v>
      </c>
      <c r="W85" s="592">
        <v>0</v>
      </c>
      <c r="X85" s="592">
        <v>0</v>
      </c>
      <c r="Y85" s="592">
        <v>0</v>
      </c>
      <c r="Z85" s="592">
        <v>0</v>
      </c>
      <c r="AA85" s="592">
        <v>0</v>
      </c>
      <c r="AB85" s="592">
        <v>0</v>
      </c>
      <c r="AC85" s="592">
        <v>0</v>
      </c>
      <c r="AD85" s="592">
        <v>0</v>
      </c>
      <c r="AE85" s="592">
        <v>0</v>
      </c>
      <c r="AF85" s="592">
        <v>0</v>
      </c>
      <c r="AG85" s="592">
        <v>0</v>
      </c>
      <c r="AH85" s="592">
        <v>0</v>
      </c>
      <c r="AI85" s="592">
        <v>0</v>
      </c>
      <c r="AJ85" s="460">
        <v>0</v>
      </c>
      <c r="AK85" s="460">
        <v>0</v>
      </c>
      <c r="AL85" s="460">
        <v>0</v>
      </c>
      <c r="AM85" s="460">
        <v>0</v>
      </c>
      <c r="AN85" s="460">
        <v>0</v>
      </c>
      <c r="AO85" s="460">
        <v>0</v>
      </c>
      <c r="AP85" s="460">
        <v>0</v>
      </c>
      <c r="AQ85" s="460">
        <v>0</v>
      </c>
      <c r="AR85" s="460">
        <v>0</v>
      </c>
      <c r="AS85" s="460">
        <v>0</v>
      </c>
      <c r="AT85" s="460">
        <v>0</v>
      </c>
      <c r="AU85" s="460">
        <v>0</v>
      </c>
      <c r="AV85" s="460">
        <v>0</v>
      </c>
      <c r="AW85" s="460">
        <v>0</v>
      </c>
      <c r="AX85" s="460">
        <v>0</v>
      </c>
      <c r="AY85" s="460">
        <v>0</v>
      </c>
      <c r="AZ85" s="460">
        <v>0</v>
      </c>
    </row>
    <row r="86" spans="1:52" x14ac:dyDescent="0.2">
      <c r="O86" s="588"/>
      <c r="P86" s="588"/>
      <c r="Q86" s="588"/>
      <c r="R86" s="588"/>
      <c r="S86" s="593"/>
      <c r="T86" s="593"/>
      <c r="U86" s="588"/>
    </row>
    <row r="87" spans="1:52" x14ac:dyDescent="0.2">
      <c r="O87" s="588"/>
      <c r="P87" s="588"/>
      <c r="Q87" s="588"/>
      <c r="R87" s="588"/>
      <c r="S87" s="593"/>
      <c r="T87" s="593"/>
      <c r="U87" s="588"/>
    </row>
    <row r="88" spans="1:52" x14ac:dyDescent="0.2">
      <c r="O88" s="588"/>
      <c r="P88" s="588"/>
      <c r="Q88" s="588"/>
      <c r="R88" s="588"/>
      <c r="S88" s="593"/>
      <c r="T88" s="593"/>
      <c r="U88" s="588"/>
    </row>
    <row r="89" spans="1:52" x14ac:dyDescent="0.2">
      <c r="O89" s="588"/>
      <c r="P89" s="588"/>
      <c r="Q89" s="588"/>
      <c r="R89" s="588"/>
      <c r="S89" s="593"/>
      <c r="T89" s="593"/>
      <c r="U89" s="588"/>
    </row>
  </sheetData>
  <autoFilter ref="A1:G8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35"/>
  <sheetViews>
    <sheetView showGridLines="0" zoomScale="40" zoomScaleNormal="40" zoomScalePageLayoutView="40" workbookViewId="0">
      <pane xSplit="2" ySplit="5" topLeftCell="H93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baseColWidth="10" defaultColWidth="8.83203125" defaultRowHeight="23" x14ac:dyDescent="0.25"/>
  <cols>
    <col min="1" max="1" width="33.1640625" bestFit="1" customWidth="1"/>
    <col min="2" max="2" width="104.5" style="33" bestFit="1" customWidth="1"/>
    <col min="3" max="3" width="28" customWidth="1" collapsed="1"/>
    <col min="4" max="4" width="27.6640625" bestFit="1" customWidth="1"/>
    <col min="5" max="5" width="17.5" customWidth="1"/>
    <col min="6" max="6" width="14.83203125" bestFit="1" customWidth="1"/>
    <col min="7" max="7" width="15.6640625" customWidth="1"/>
    <col min="8" max="8" width="32.83203125" bestFit="1" customWidth="1"/>
    <col min="9" max="10" width="26.5" customWidth="1"/>
    <col min="11" max="12" width="16.1640625" hidden="1" customWidth="1"/>
    <col min="13" max="13" width="19.1640625" hidden="1" customWidth="1"/>
    <col min="15" max="15" width="28" customWidth="1" collapsed="1"/>
    <col min="16" max="16" width="27.6640625" bestFit="1" customWidth="1"/>
    <col min="17" max="17" width="17.5" customWidth="1"/>
    <col min="18" max="18" width="14.83203125" bestFit="1" customWidth="1"/>
    <col min="19" max="19" width="15.6640625" customWidth="1"/>
    <col min="20" max="20" width="32.83203125" bestFit="1" customWidth="1"/>
    <col min="21" max="22" width="26.5" customWidth="1"/>
    <col min="23" max="24" width="16.1640625" hidden="1" customWidth="1"/>
    <col min="25" max="25" width="19.1640625" hidden="1" customWidth="1"/>
  </cols>
  <sheetData>
    <row r="1" spans="1:25" ht="23.25" customHeight="1" x14ac:dyDescent="0.2">
      <c r="A1" s="633" t="s">
        <v>193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</row>
    <row r="2" spans="1:25" ht="23.25" customHeight="1" x14ac:dyDescent="0.2">
      <c r="A2" s="633"/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</row>
    <row r="3" spans="1:25" ht="23.25" customHeight="1" x14ac:dyDescent="0.2">
      <c r="A3" s="633"/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</row>
    <row r="4" spans="1:25" ht="23.25" customHeight="1" x14ac:dyDescent="0.25">
      <c r="A4" s="643" t="s">
        <v>103</v>
      </c>
      <c r="B4" s="643" t="s">
        <v>192</v>
      </c>
      <c r="C4" s="634" t="s">
        <v>215</v>
      </c>
      <c r="D4" s="634"/>
      <c r="E4" s="634"/>
      <c r="F4" s="634"/>
      <c r="G4" s="634"/>
      <c r="H4" s="634"/>
      <c r="I4" s="634"/>
      <c r="J4" s="634"/>
      <c r="K4" s="634"/>
      <c r="L4" s="104"/>
      <c r="M4" s="104"/>
      <c r="O4" s="634" t="s">
        <v>220</v>
      </c>
      <c r="P4" s="634"/>
      <c r="Q4" s="634"/>
      <c r="R4" s="634"/>
      <c r="S4" s="634"/>
      <c r="T4" s="634"/>
      <c r="U4" s="634"/>
      <c r="V4" s="634"/>
      <c r="W4" s="634"/>
      <c r="X4" s="104"/>
      <c r="Y4" s="104"/>
    </row>
    <row r="5" spans="1:25" ht="62" customHeight="1" x14ac:dyDescent="0.2">
      <c r="A5" s="644"/>
      <c r="B5" s="644"/>
      <c r="C5" s="1" t="s">
        <v>187</v>
      </c>
      <c r="D5" s="60" t="s">
        <v>98</v>
      </c>
      <c r="E5" s="60" t="s">
        <v>99</v>
      </c>
      <c r="F5" s="60" t="s">
        <v>204</v>
      </c>
      <c r="G5" s="60" t="s">
        <v>212</v>
      </c>
      <c r="H5" s="60" t="s">
        <v>214</v>
      </c>
      <c r="I5" s="60" t="s">
        <v>203</v>
      </c>
      <c r="J5" s="60" t="s">
        <v>213</v>
      </c>
      <c r="K5" s="69" t="s">
        <v>188</v>
      </c>
      <c r="L5" s="60" t="s">
        <v>210</v>
      </c>
      <c r="M5" s="60" t="s">
        <v>211</v>
      </c>
      <c r="O5" s="1" t="s">
        <v>219</v>
      </c>
      <c r="P5" s="60" t="s">
        <v>98</v>
      </c>
      <c r="Q5" s="60" t="s">
        <v>99</v>
      </c>
      <c r="R5" s="60" t="s">
        <v>204</v>
      </c>
      <c r="S5" s="60" t="s">
        <v>212</v>
      </c>
      <c r="T5" s="60" t="s">
        <v>214</v>
      </c>
      <c r="U5" s="60" t="s">
        <v>203</v>
      </c>
      <c r="V5" s="60" t="s">
        <v>213</v>
      </c>
      <c r="W5" s="69" t="s">
        <v>188</v>
      </c>
      <c r="X5" s="60" t="s">
        <v>210</v>
      </c>
      <c r="Y5" s="60" t="s">
        <v>211</v>
      </c>
    </row>
    <row r="6" spans="1:25" x14ac:dyDescent="0.2">
      <c r="A6" s="3"/>
      <c r="B6" s="3" t="s">
        <v>0</v>
      </c>
      <c r="C6" s="4"/>
      <c r="D6" s="635"/>
      <c r="E6" s="636"/>
      <c r="F6" s="148"/>
      <c r="G6" s="82"/>
      <c r="H6" s="82"/>
      <c r="I6" s="82"/>
      <c r="J6" s="82"/>
      <c r="K6" s="149"/>
      <c r="L6" s="149"/>
      <c r="M6" s="149"/>
      <c r="O6" s="4"/>
      <c r="P6" s="635"/>
      <c r="Q6" s="636"/>
      <c r="R6" s="163"/>
      <c r="S6" s="82"/>
      <c r="T6" s="82"/>
      <c r="U6" s="82"/>
      <c r="V6" s="82"/>
      <c r="W6" s="164"/>
      <c r="X6" s="164"/>
      <c r="Y6" s="164"/>
    </row>
    <row r="7" spans="1:25" x14ac:dyDescent="0.2">
      <c r="A7" s="5" t="s">
        <v>104</v>
      </c>
      <c r="B7" s="5" t="s">
        <v>1</v>
      </c>
      <c r="C7" s="6">
        <v>10666146.565233044</v>
      </c>
      <c r="D7" s="47">
        <v>66786000</v>
      </c>
      <c r="E7" s="47">
        <v>29200</v>
      </c>
      <c r="F7" s="61">
        <v>0.83140184682175033</v>
      </c>
      <c r="G7" s="61">
        <v>0.83503969998730321</v>
      </c>
      <c r="H7" s="61">
        <v>8845716.3370825909</v>
      </c>
      <c r="I7" s="47">
        <v>10639519.711073101</v>
      </c>
      <c r="J7" s="47">
        <v>10593168.6088902</v>
      </c>
      <c r="K7" s="47">
        <v>0</v>
      </c>
      <c r="L7" s="105">
        <f>C7/D7</f>
        <v>0.15970632415825239</v>
      </c>
      <c r="M7" s="61">
        <f>C7/E7</f>
        <v>365.27899196003574</v>
      </c>
      <c r="O7" s="6">
        <v>10666146.565233044</v>
      </c>
      <c r="P7" s="47">
        <v>66786000</v>
      </c>
      <c r="Q7" s="47">
        <v>29200</v>
      </c>
      <c r="R7" s="61">
        <v>0.65146753240075062</v>
      </c>
      <c r="S7" s="61">
        <v>0.6543180712034472</v>
      </c>
      <c r="T7" s="61">
        <v>6931301.6521019395</v>
      </c>
      <c r="U7" s="47">
        <v>10639519.711073101</v>
      </c>
      <c r="V7" s="47">
        <v>10593168.6088902</v>
      </c>
      <c r="W7" s="47">
        <v>0</v>
      </c>
      <c r="X7" s="105">
        <f>O7/P7</f>
        <v>0.15970632415825239</v>
      </c>
      <c r="Y7" s="61">
        <f>O7/Q7</f>
        <v>365.27899196003574</v>
      </c>
    </row>
    <row r="8" spans="1:25" x14ac:dyDescent="0.2">
      <c r="A8" s="5" t="s">
        <v>105</v>
      </c>
      <c r="B8" s="5" t="s">
        <v>2</v>
      </c>
      <c r="C8" s="6">
        <v>9064874.9637419637</v>
      </c>
      <c r="D8" s="47">
        <v>16918470.9476333</v>
      </c>
      <c r="E8" s="47">
        <v>1643.89200903918</v>
      </c>
      <c r="F8" s="61">
        <v>1.3869124338504297</v>
      </c>
      <c r="G8" s="61">
        <v>1.4301343883120221</v>
      </c>
      <c r="H8" s="61">
        <v>12218930.447078381</v>
      </c>
      <c r="I8" s="47">
        <v>8810167.2094433904</v>
      </c>
      <c r="J8" s="47">
        <v>8543903.6687316503</v>
      </c>
      <c r="K8" s="47">
        <v>0</v>
      </c>
      <c r="L8" s="106">
        <f>C8/D8</f>
        <v>0.53579753110076622</v>
      </c>
      <c r="M8" s="62">
        <f>C8/E8</f>
        <v>5514.2764329392849</v>
      </c>
      <c r="O8" s="6">
        <v>3431091.5933043025</v>
      </c>
      <c r="P8" s="47">
        <v>5507288.3117279802</v>
      </c>
      <c r="Q8" s="47">
        <v>1008.51424249465</v>
      </c>
      <c r="R8" s="61">
        <v>0.58805748292726689</v>
      </c>
      <c r="S8" s="61">
        <v>0.58146095042201118</v>
      </c>
      <c r="T8" s="61">
        <v>1931184.3307367959</v>
      </c>
      <c r="U8" s="47">
        <v>3284006.0483945101</v>
      </c>
      <c r="V8" s="47">
        <v>3321262.2951467098</v>
      </c>
      <c r="W8" s="47">
        <v>0</v>
      </c>
      <c r="X8" s="106">
        <f>O8/P8</f>
        <v>0.62300925593411594</v>
      </c>
      <c r="Y8" s="62">
        <f>O8/Q8</f>
        <v>3402.1250754150888</v>
      </c>
    </row>
    <row r="9" spans="1:25" x14ac:dyDescent="0.2">
      <c r="A9" s="5" t="s">
        <v>106</v>
      </c>
      <c r="B9" s="5" t="s">
        <v>3</v>
      </c>
      <c r="C9" s="6">
        <v>6944544.3639879115</v>
      </c>
      <c r="D9" s="47">
        <v>19851597.678371102</v>
      </c>
      <c r="E9" s="47">
        <v>8725.5422750057696</v>
      </c>
      <c r="F9" s="61">
        <v>1.2650091240644052</v>
      </c>
      <c r="G9" s="61">
        <v>1.8721974999186342</v>
      </c>
      <c r="H9" s="61">
        <v>12375653.640570365</v>
      </c>
      <c r="I9" s="47">
        <v>9783054.8453342896</v>
      </c>
      <c r="J9" s="47">
        <v>6610228.6970836204</v>
      </c>
      <c r="K9" s="47">
        <v>0</v>
      </c>
      <c r="L9" s="106">
        <f>C9/D9</f>
        <v>0.34982294505969141</v>
      </c>
      <c r="M9" s="62">
        <f>C9/E9</f>
        <v>795.88685093882259</v>
      </c>
      <c r="O9" s="6">
        <v>6944544.3639879115</v>
      </c>
      <c r="P9" s="47">
        <v>19851597.678371102</v>
      </c>
      <c r="Q9" s="47">
        <v>8725.5422750057696</v>
      </c>
      <c r="R9" s="61">
        <v>0.67191090590484581</v>
      </c>
      <c r="S9" s="61">
        <v>0.99441964035910868</v>
      </c>
      <c r="T9" s="61">
        <v>6573341.2436453532</v>
      </c>
      <c r="U9" s="47">
        <v>9783054.8453342896</v>
      </c>
      <c r="V9" s="47">
        <v>6610228.6970836204</v>
      </c>
      <c r="W9" s="47">
        <v>0</v>
      </c>
      <c r="X9" s="106">
        <f>O9/P9</f>
        <v>0.34982294505969141</v>
      </c>
      <c r="Y9" s="62">
        <f>O9/Q9</f>
        <v>795.88685093882259</v>
      </c>
    </row>
    <row r="10" spans="1:25" x14ac:dyDescent="0.2">
      <c r="A10" s="7" t="s">
        <v>107</v>
      </c>
      <c r="B10" s="7" t="s">
        <v>4</v>
      </c>
      <c r="C10" s="6">
        <v>4796741.375699345</v>
      </c>
      <c r="D10" s="47">
        <v>10478743.269425901</v>
      </c>
      <c r="E10" s="47">
        <v>4543.0079784068903</v>
      </c>
      <c r="F10" s="61">
        <v>1.80150150352323</v>
      </c>
      <c r="G10" s="61">
        <v>1.8800966823118033</v>
      </c>
      <c r="H10" s="61">
        <v>8438685.079038363</v>
      </c>
      <c r="I10" s="47">
        <v>4684250.9220973002</v>
      </c>
      <c r="J10" s="47">
        <v>4488431.4505900797</v>
      </c>
      <c r="K10" s="47">
        <v>0</v>
      </c>
      <c r="L10" s="106">
        <f>C10/D10</f>
        <v>0.45775922287312076</v>
      </c>
      <c r="M10" s="62">
        <f>C10/E10</f>
        <v>1055.8514091321126</v>
      </c>
      <c r="O10" s="6">
        <v>3371481.1671665031</v>
      </c>
      <c r="P10" s="47">
        <v>6475081.5025944598</v>
      </c>
      <c r="Q10" s="47">
        <v>4431.4464098445796</v>
      </c>
      <c r="R10" s="61">
        <v>1.6812292501785435</v>
      </c>
      <c r="S10" s="61">
        <v>1.7501079220449804</v>
      </c>
      <c r="T10" s="61">
        <v>5542913.4927868536</v>
      </c>
      <c r="U10" s="47">
        <v>3296940.9092770698</v>
      </c>
      <c r="V10" s="47">
        <v>3167183.81933271</v>
      </c>
      <c r="W10" s="47">
        <v>0</v>
      </c>
      <c r="X10" s="106">
        <f>O10/P10</f>
        <v>0.52068551813835939</v>
      </c>
      <c r="Y10" s="62">
        <f>O10/Q10</f>
        <v>760.8082904210836</v>
      </c>
    </row>
    <row r="11" spans="1:25" x14ac:dyDescent="0.2">
      <c r="A11" s="5" t="s">
        <v>108</v>
      </c>
      <c r="B11" s="5" t="s">
        <v>5</v>
      </c>
      <c r="C11" s="6">
        <v>51231237.747912936</v>
      </c>
      <c r="D11" s="47">
        <v>226616830.55536199</v>
      </c>
      <c r="E11" s="47">
        <v>35148.887590881197</v>
      </c>
      <c r="F11" s="61">
        <v>1.2068043040019485</v>
      </c>
      <c r="G11" s="61">
        <v>1.6923907967726959</v>
      </c>
      <c r="H11" s="61">
        <v>80893651.047167704</v>
      </c>
      <c r="I11" s="47">
        <v>67031291.468643203</v>
      </c>
      <c r="J11" s="47">
        <v>47798446.553495698</v>
      </c>
      <c r="K11" s="47">
        <v>2242.3877891999996</v>
      </c>
      <c r="L11" s="105">
        <f>C11/D11</f>
        <v>0.22606987143171284</v>
      </c>
      <c r="M11" s="61">
        <f>C11/E11</f>
        <v>1457.5493353935913</v>
      </c>
      <c r="O11" s="6">
        <v>21601748.647912901</v>
      </c>
      <c r="P11" s="47">
        <v>35827835.100000001</v>
      </c>
      <c r="Q11" s="47">
        <v>5036.5079599999999</v>
      </c>
      <c r="R11" s="61">
        <v>0.5626171035628752</v>
      </c>
      <c r="S11" s="61">
        <v>0.85484124383483162</v>
      </c>
      <c r="T11" s="61">
        <v>17379997.035851989</v>
      </c>
      <c r="U11" s="47">
        <v>30891341.421705801</v>
      </c>
      <c r="V11" s="47">
        <v>20331257.015495699</v>
      </c>
      <c r="W11" s="47">
        <v>2242.3877891999996</v>
      </c>
      <c r="X11" s="105">
        <f>O11/P11</f>
        <v>0.60293201047787837</v>
      </c>
      <c r="Y11" s="61">
        <f>O11/Q11</f>
        <v>4289.0329608280617</v>
      </c>
    </row>
    <row r="12" spans="1:25" x14ac:dyDescent="0.2">
      <c r="A12" s="7" t="s">
        <v>109</v>
      </c>
      <c r="B12" s="7" t="s">
        <v>6</v>
      </c>
      <c r="C12" s="6">
        <v>495536.3396029984</v>
      </c>
      <c r="D12" s="47">
        <v>0</v>
      </c>
      <c r="E12" s="47">
        <v>0</v>
      </c>
      <c r="F12" s="61">
        <v>0</v>
      </c>
      <c r="G12" s="61">
        <v>0</v>
      </c>
      <c r="H12" s="61">
        <v>0</v>
      </c>
      <c r="I12" s="47">
        <v>495536.33960299799</v>
      </c>
      <c r="J12" s="47">
        <v>495536.33960299799</v>
      </c>
      <c r="K12" s="47">
        <v>0</v>
      </c>
      <c r="L12" s="105">
        <v>0</v>
      </c>
      <c r="M12" s="61">
        <v>0</v>
      </c>
      <c r="O12" s="6">
        <v>495536.3396029984</v>
      </c>
      <c r="P12" s="47">
        <v>0</v>
      </c>
      <c r="Q12" s="47">
        <v>0</v>
      </c>
      <c r="R12" s="61">
        <v>0</v>
      </c>
      <c r="S12" s="61">
        <v>0</v>
      </c>
      <c r="T12" s="61">
        <v>0</v>
      </c>
      <c r="U12" s="47">
        <v>495536.33960299799</v>
      </c>
      <c r="V12" s="47">
        <v>495536.33960299799</v>
      </c>
      <c r="W12" s="47">
        <v>0</v>
      </c>
      <c r="X12" s="105">
        <v>0</v>
      </c>
      <c r="Y12" s="61">
        <v>0</v>
      </c>
    </row>
    <row r="13" spans="1:25" x14ac:dyDescent="0.2">
      <c r="A13" s="5" t="s">
        <v>110</v>
      </c>
      <c r="B13" s="5" t="s">
        <v>7</v>
      </c>
      <c r="C13" s="6">
        <v>350000</v>
      </c>
      <c r="D13" s="47">
        <v>0</v>
      </c>
      <c r="E13" s="47">
        <v>0</v>
      </c>
      <c r="F13" s="61">
        <v>0</v>
      </c>
      <c r="G13" s="61">
        <v>0</v>
      </c>
      <c r="H13" s="61">
        <v>0</v>
      </c>
      <c r="I13" s="47">
        <v>350000</v>
      </c>
      <c r="J13" s="47">
        <v>350000</v>
      </c>
      <c r="K13" s="47">
        <v>0</v>
      </c>
      <c r="L13" s="62">
        <v>0</v>
      </c>
      <c r="M13" s="62">
        <f>E13/C13</f>
        <v>0</v>
      </c>
      <c r="O13" s="6">
        <v>350000</v>
      </c>
      <c r="P13" s="47">
        <v>0</v>
      </c>
      <c r="Q13" s="47">
        <v>0</v>
      </c>
      <c r="R13" s="61">
        <v>0</v>
      </c>
      <c r="S13" s="61">
        <v>0</v>
      </c>
      <c r="T13" s="61">
        <v>0</v>
      </c>
      <c r="U13" s="47">
        <v>350000</v>
      </c>
      <c r="V13" s="47">
        <v>350000</v>
      </c>
      <c r="W13" s="47">
        <v>0</v>
      </c>
      <c r="X13" s="62">
        <v>0</v>
      </c>
      <c r="Y13" s="62">
        <f>Q13/O13</f>
        <v>0</v>
      </c>
    </row>
    <row r="14" spans="1:25" x14ac:dyDescent="0.2">
      <c r="A14" s="8" t="s">
        <v>111</v>
      </c>
      <c r="B14" s="8" t="s">
        <v>8</v>
      </c>
      <c r="C14" s="6">
        <v>6063775.356344495</v>
      </c>
      <c r="D14" s="47">
        <v>840266.55072000006</v>
      </c>
      <c r="E14" s="47">
        <v>1048.1356800000001</v>
      </c>
      <c r="F14" s="61">
        <v>0.14220035456813657</v>
      </c>
      <c r="G14" s="61">
        <v>0.24241089913858321</v>
      </c>
      <c r="H14" s="61">
        <v>1415894.393851636</v>
      </c>
      <c r="I14" s="47">
        <v>9957038.4205561001</v>
      </c>
      <c r="J14" s="47">
        <v>5840885.8631483698</v>
      </c>
      <c r="K14" s="47">
        <v>0</v>
      </c>
      <c r="L14" s="107">
        <f>C14/D14</f>
        <v>7.2164902329488445</v>
      </c>
      <c r="M14" s="137">
        <f>C14/E14</f>
        <v>5785.2961902265306</v>
      </c>
      <c r="O14" s="6">
        <v>6063775.356344495</v>
      </c>
      <c r="P14" s="47">
        <v>840266.55072000006</v>
      </c>
      <c r="Q14" s="47">
        <v>1048.1356800000001</v>
      </c>
      <c r="R14" s="61">
        <v>0.14050173005912062</v>
      </c>
      <c r="S14" s="61">
        <v>0.23951523058852983</v>
      </c>
      <c r="T14" s="61">
        <v>1398981.1243532659</v>
      </c>
      <c r="U14" s="47">
        <v>9957038.4205561001</v>
      </c>
      <c r="V14" s="47">
        <v>5840885.8631483698</v>
      </c>
      <c r="W14" s="47">
        <v>0</v>
      </c>
      <c r="X14" s="107">
        <f>O14/P14</f>
        <v>7.2164902329488445</v>
      </c>
      <c r="Y14" s="137">
        <f>O14/Q14</f>
        <v>5785.2961902265306</v>
      </c>
    </row>
    <row r="15" spans="1:25" x14ac:dyDescent="0.2">
      <c r="A15" s="7" t="s">
        <v>112</v>
      </c>
      <c r="B15" s="7" t="s">
        <v>9</v>
      </c>
      <c r="C15" s="63"/>
      <c r="D15" s="63"/>
      <c r="E15" s="63"/>
      <c r="F15" s="63"/>
      <c r="G15" s="63"/>
      <c r="H15" s="63"/>
      <c r="I15" s="145"/>
      <c r="J15" s="145"/>
      <c r="K15" s="97"/>
      <c r="L15" s="118"/>
      <c r="M15" s="118"/>
      <c r="O15" s="63"/>
      <c r="P15" s="63"/>
      <c r="Q15" s="63"/>
      <c r="R15" s="63"/>
      <c r="S15" s="63"/>
      <c r="T15" s="63"/>
      <c r="U15" s="145"/>
      <c r="V15" s="145"/>
      <c r="W15" s="97"/>
      <c r="X15" s="118"/>
      <c r="Y15" s="118"/>
    </row>
    <row r="16" spans="1:25" x14ac:dyDescent="0.2">
      <c r="A16" s="7" t="s">
        <v>209</v>
      </c>
      <c r="B16" s="7" t="s">
        <v>199</v>
      </c>
      <c r="C16" s="6">
        <v>4233905.5040058745</v>
      </c>
      <c r="D16" s="47">
        <v>7964409.7752367696</v>
      </c>
      <c r="E16" s="47">
        <v>3317.3536955671798</v>
      </c>
      <c r="F16" s="61">
        <v>1.6270489035823519</v>
      </c>
      <c r="G16" s="61">
        <v>1.692223057835925</v>
      </c>
      <c r="H16" s="61">
        <v>6739658.3213392179</v>
      </c>
      <c r="I16" s="47">
        <v>4142259.2194372201</v>
      </c>
      <c r="J16" s="47">
        <v>3982724.5528483298</v>
      </c>
      <c r="K16" s="47">
        <v>0</v>
      </c>
      <c r="L16" s="105">
        <f>C16/D16</f>
        <v>0.53160317255022294</v>
      </c>
      <c r="M16" s="61">
        <f>C16/E16</f>
        <v>1276.2900469924082</v>
      </c>
      <c r="O16" s="6">
        <v>3931313.0195334805</v>
      </c>
      <c r="P16" s="47">
        <v>7627417.3582026903</v>
      </c>
      <c r="Q16" s="47">
        <v>3287.52358621752</v>
      </c>
      <c r="R16" s="61">
        <v>1.275361704757648</v>
      </c>
      <c r="S16" s="61">
        <v>1.3254876003339613</v>
      </c>
      <c r="T16" s="61">
        <v>4907239.6116835857</v>
      </c>
      <c r="U16" s="47">
        <v>3847723.8209187798</v>
      </c>
      <c r="V16" s="47">
        <v>3702214.6494974298</v>
      </c>
      <c r="W16" s="47">
        <v>0</v>
      </c>
      <c r="X16" s="105">
        <f>O16/P16</f>
        <v>0.5154186318788051</v>
      </c>
      <c r="Y16" s="61">
        <f>O16/Q16</f>
        <v>1195.8280804478352</v>
      </c>
    </row>
    <row r="17" spans="1:25" x14ac:dyDescent="0.2">
      <c r="A17" s="3"/>
      <c r="B17" s="3" t="s">
        <v>10</v>
      </c>
      <c r="C17" s="9">
        <f>SUM(C7:C16)</f>
        <v>93846762.216528565</v>
      </c>
      <c r="D17" s="48">
        <f>SUM(D7:D16)</f>
        <v>349456318.77674907</v>
      </c>
      <c r="E17" s="48">
        <f>SUM(E7:E16)</f>
        <v>83626.819228900218</v>
      </c>
      <c r="F17" s="88">
        <f>H17/I17</f>
        <v>1.1297322168195763</v>
      </c>
      <c r="G17" s="88">
        <f>H17/J17</f>
        <v>1.47602345438742</v>
      </c>
      <c r="H17" s="103">
        <f>SUM(H7:H16)</f>
        <v>130928189.26612826</v>
      </c>
      <c r="I17" s="103">
        <f>SUM(I7:I16)</f>
        <v>115893118.13618761</v>
      </c>
      <c r="J17" s="103">
        <f>SUM(J7:J16)</f>
        <v>88703325.734390944</v>
      </c>
      <c r="K17" s="48">
        <f>SUM(K7:K16)</f>
        <v>2242.3877891999996</v>
      </c>
      <c r="L17" s="108">
        <f>C17/D17</f>
        <v>0.26855076635910757</v>
      </c>
      <c r="M17" s="88">
        <f>C17/E17</f>
        <v>1122.2089167310633</v>
      </c>
      <c r="O17" s="9">
        <f>SUM(O7:O16)</f>
        <v>56855637.053085633</v>
      </c>
      <c r="P17" s="48">
        <f>SUM(P7:P16)</f>
        <v>142915486.50161624</v>
      </c>
      <c r="Q17" s="48">
        <f>SUM(Q7:Q16)</f>
        <v>52737.670153562518</v>
      </c>
      <c r="R17" s="88">
        <f>T17/U17</f>
        <v>0.61568487211621548</v>
      </c>
      <c r="S17" s="88">
        <f>T17/V17</f>
        <v>0.82086992103536283</v>
      </c>
      <c r="T17" s="103">
        <f>SUM(T7:T16)</f>
        <v>44664958.491159782</v>
      </c>
      <c r="U17" s="103">
        <f>SUM(U7:U16)</f>
        <v>72545161.516862661</v>
      </c>
      <c r="V17" s="103">
        <f>SUM(V7:V16)</f>
        <v>54411737.288197733</v>
      </c>
      <c r="W17" s="48">
        <f>SUM(W7:W16)</f>
        <v>2242.3877891999996</v>
      </c>
      <c r="X17" s="108">
        <f>O17/P17</f>
        <v>0.39782698463852373</v>
      </c>
      <c r="Y17" s="88">
        <f>O17/Q17</f>
        <v>1078.0839746528875</v>
      </c>
    </row>
    <row r="18" spans="1:25" x14ac:dyDescent="0.2">
      <c r="A18" s="2"/>
      <c r="B18" s="81"/>
      <c r="C18" s="10"/>
      <c r="D18" s="49"/>
      <c r="E18" s="49"/>
      <c r="F18" s="49"/>
      <c r="G18" s="49"/>
      <c r="H18" s="49"/>
      <c r="I18" s="49"/>
      <c r="J18" s="49"/>
      <c r="K18" s="49"/>
      <c r="L18" s="119"/>
      <c r="M18" s="119"/>
      <c r="O18" s="10"/>
      <c r="P18" s="49"/>
      <c r="Q18" s="49"/>
      <c r="R18" s="49"/>
      <c r="S18" s="49"/>
      <c r="T18" s="49"/>
      <c r="U18" s="49"/>
      <c r="V18" s="49"/>
      <c r="W18" s="49"/>
      <c r="X18" s="119"/>
      <c r="Y18" s="119"/>
    </row>
    <row r="19" spans="1:25" x14ac:dyDescent="0.2">
      <c r="A19" s="11"/>
      <c r="B19" s="11" t="s">
        <v>11</v>
      </c>
      <c r="C19" s="156"/>
      <c r="D19" s="637"/>
      <c r="E19" s="638"/>
      <c r="F19" s="150"/>
      <c r="G19" s="83"/>
      <c r="H19" s="83"/>
      <c r="I19" s="83"/>
      <c r="J19" s="83"/>
      <c r="K19" s="151"/>
      <c r="L19" s="120"/>
      <c r="M19" s="120"/>
      <c r="O19" s="171"/>
      <c r="P19" s="637"/>
      <c r="Q19" s="638"/>
      <c r="R19" s="165"/>
      <c r="S19" s="83"/>
      <c r="T19" s="83"/>
      <c r="U19" s="83"/>
      <c r="V19" s="83"/>
      <c r="W19" s="166"/>
      <c r="X19" s="120"/>
      <c r="Y19" s="120"/>
    </row>
    <row r="20" spans="1:25" x14ac:dyDescent="0.2">
      <c r="A20" s="7" t="s">
        <v>113</v>
      </c>
      <c r="B20" s="7" t="s">
        <v>12</v>
      </c>
      <c r="C20" s="6">
        <v>27287863.073755704</v>
      </c>
      <c r="D20" s="47">
        <v>28470220.277424701</v>
      </c>
      <c r="E20" s="47">
        <v>10755.3582563046</v>
      </c>
      <c r="F20" s="61">
        <v>0.80128069036597549</v>
      </c>
      <c r="G20" s="61">
        <v>1.0427705438943571</v>
      </c>
      <c r="H20" s="61">
        <v>27256995.006994326</v>
      </c>
      <c r="I20" s="47">
        <v>34016787.543632202</v>
      </c>
      <c r="J20" s="47">
        <v>26139015.113717798</v>
      </c>
      <c r="K20" s="47">
        <v>4525.8957910755616</v>
      </c>
      <c r="L20" s="105">
        <f>C20/D20</f>
        <v>0.9584703879299965</v>
      </c>
      <c r="M20" s="61">
        <f>C20/E20</f>
        <v>2537.1412484340112</v>
      </c>
      <c r="O20" s="6">
        <v>27287863.073755704</v>
      </c>
      <c r="P20" s="47">
        <v>28470220.277424701</v>
      </c>
      <c r="Q20" s="47">
        <v>10755.3582563046</v>
      </c>
      <c r="R20" s="61">
        <v>0.52411480767534235</v>
      </c>
      <c r="S20" s="61">
        <v>0.68207244930997057</v>
      </c>
      <c r="T20" s="61">
        <v>17828702.061163772</v>
      </c>
      <c r="U20" s="47">
        <v>34016787.543632202</v>
      </c>
      <c r="V20" s="47">
        <v>26139015.113717701</v>
      </c>
      <c r="W20" s="47">
        <v>4525.8957910755616</v>
      </c>
      <c r="X20" s="105">
        <f>O20/P20</f>
        <v>0.9584703879299965</v>
      </c>
      <c r="Y20" s="61">
        <f>O20/Q20</f>
        <v>2537.1412484340112</v>
      </c>
    </row>
    <row r="21" spans="1:25" x14ac:dyDescent="0.2">
      <c r="A21" s="7" t="s">
        <v>135</v>
      </c>
      <c r="B21" s="7" t="s">
        <v>218</v>
      </c>
      <c r="C21" s="6">
        <v>2253976.2061207751</v>
      </c>
      <c r="D21" s="47">
        <v>4428462.6831857804</v>
      </c>
      <c r="E21" s="47">
        <v>1180.45143587441</v>
      </c>
      <c r="F21" s="61">
        <v>0.83850461062639592</v>
      </c>
      <c r="G21" s="61">
        <v>1.5577255600037487</v>
      </c>
      <c r="H21" s="61">
        <v>3455442.6372609902</v>
      </c>
      <c r="I21" s="47">
        <v>4120958.4222555901</v>
      </c>
      <c r="J21" s="47">
        <v>2218261.4999606698</v>
      </c>
      <c r="K21" s="47">
        <v>0</v>
      </c>
      <c r="L21" s="105">
        <v>0</v>
      </c>
      <c r="M21" s="61">
        <f>C21/E21</f>
        <v>1909.4188355585845</v>
      </c>
      <c r="O21" s="6">
        <v>2237798.3623774857</v>
      </c>
      <c r="P21" s="47">
        <v>4246471.6880737804</v>
      </c>
      <c r="Q21" s="47">
        <v>1170.7044358744099</v>
      </c>
      <c r="R21" s="61">
        <v>0.50802806868292494</v>
      </c>
      <c r="S21" s="61">
        <v>0.9294415240924162</v>
      </c>
      <c r="T21" s="61">
        <v>2047805.31241873</v>
      </c>
      <c r="U21" s="47">
        <v>4030890.0996901901</v>
      </c>
      <c r="V21" s="47">
        <v>2203264.2821918</v>
      </c>
      <c r="W21" s="47">
        <v>0</v>
      </c>
      <c r="X21" s="105">
        <v>0</v>
      </c>
      <c r="Y21" s="61">
        <f>O21/Q21</f>
        <v>1911.4972949650212</v>
      </c>
    </row>
    <row r="22" spans="1:25" x14ac:dyDescent="0.2">
      <c r="A22" s="12"/>
      <c r="B22" s="12"/>
      <c r="C22" s="13"/>
      <c r="D22" s="49"/>
      <c r="E22" s="49"/>
      <c r="F22" s="49"/>
      <c r="G22" s="49"/>
      <c r="H22" s="49"/>
      <c r="I22" s="143"/>
      <c r="J22" s="143"/>
      <c r="K22" s="49"/>
      <c r="L22" s="119"/>
      <c r="M22" s="119"/>
      <c r="O22" s="13"/>
      <c r="P22" s="49"/>
      <c r="Q22" s="49"/>
      <c r="R22" s="49"/>
      <c r="S22" s="49"/>
      <c r="T22" s="49"/>
      <c r="U22" s="143"/>
      <c r="V22" s="143"/>
      <c r="W22" s="49"/>
      <c r="X22" s="119"/>
      <c r="Y22" s="119"/>
    </row>
    <row r="23" spans="1:25" x14ac:dyDescent="0.2">
      <c r="A23" s="14"/>
      <c r="B23" s="14" t="s">
        <v>13</v>
      </c>
      <c r="C23" s="157"/>
      <c r="D23" s="639"/>
      <c r="E23" s="640"/>
      <c r="F23" s="152"/>
      <c r="G23" s="84"/>
      <c r="H23" s="84"/>
      <c r="I23" s="144"/>
      <c r="J23" s="144"/>
      <c r="K23" s="153"/>
      <c r="L23" s="121"/>
      <c r="M23" s="121"/>
      <c r="O23" s="172"/>
      <c r="P23" s="639"/>
      <c r="Q23" s="640"/>
      <c r="R23" s="167"/>
      <c r="S23" s="84"/>
      <c r="T23" s="84"/>
      <c r="U23" s="144"/>
      <c r="V23" s="144"/>
      <c r="W23" s="168"/>
      <c r="X23" s="121"/>
      <c r="Y23" s="121"/>
    </row>
    <row r="24" spans="1:25" x14ac:dyDescent="0.2">
      <c r="A24" s="7" t="s">
        <v>114</v>
      </c>
      <c r="B24" s="7" t="s">
        <v>198</v>
      </c>
      <c r="C24" s="6">
        <v>5495927.7592365323</v>
      </c>
      <c r="D24" s="47">
        <v>41102750.570637502</v>
      </c>
      <c r="E24" s="47">
        <v>4133.4176803379196</v>
      </c>
      <c r="F24" s="61">
        <v>2.3873330670694508</v>
      </c>
      <c r="G24" s="61">
        <v>6.561915424698662</v>
      </c>
      <c r="H24" s="61">
        <v>34713567.187467597</v>
      </c>
      <c r="I24" s="47">
        <v>14540730.686598299</v>
      </c>
      <c r="J24" s="47">
        <v>5290157.6659778003</v>
      </c>
      <c r="K24" s="47">
        <v>146.43234700843379</v>
      </c>
      <c r="L24" s="105">
        <f t="shared" ref="L24:L32" si="0">C24/D24</f>
        <v>0.13371192153652725</v>
      </c>
      <c r="M24" s="61">
        <f t="shared" ref="M24:M32" si="1">C24/E24</f>
        <v>1329.6328085544994</v>
      </c>
      <c r="O24" s="6">
        <v>5367499.9531956846</v>
      </c>
      <c r="P24" s="47">
        <v>25790289.838028301</v>
      </c>
      <c r="Q24" s="47">
        <v>4080.3048596357498</v>
      </c>
      <c r="R24" s="61">
        <v>1.1061702317285069</v>
      </c>
      <c r="S24" s="61">
        <v>3.0837222530890416</v>
      </c>
      <c r="T24" s="61">
        <v>15946243.1083354</v>
      </c>
      <c r="U24" s="47">
        <v>14415722.509019</v>
      </c>
      <c r="V24" s="47">
        <v>5171102.2587594101</v>
      </c>
      <c r="W24" s="47">
        <v>146.43234700843379</v>
      </c>
      <c r="X24" s="105">
        <f t="shared" ref="X24:X32" si="2">O24/P24</f>
        <v>0.2081209628470789</v>
      </c>
      <c r="Y24" s="61">
        <f t="shared" ref="Y24:Y32" si="3">O24/Q24</f>
        <v>1315.465421785872</v>
      </c>
    </row>
    <row r="25" spans="1:25" x14ac:dyDescent="0.2">
      <c r="A25" s="7" t="s">
        <v>115</v>
      </c>
      <c r="B25" s="7" t="s">
        <v>14</v>
      </c>
      <c r="C25" s="6">
        <v>8452014.8888434023</v>
      </c>
      <c r="D25" s="47">
        <v>39362643.575999998</v>
      </c>
      <c r="E25" s="47">
        <v>6569.8919999999998</v>
      </c>
      <c r="F25" s="61">
        <v>3.0140531968072528</v>
      </c>
      <c r="G25" s="61">
        <v>4.1211674182009599</v>
      </c>
      <c r="H25" s="61">
        <v>33289562.0342944</v>
      </c>
      <c r="I25" s="47">
        <v>11044782.5106596</v>
      </c>
      <c r="J25" s="47">
        <v>8077701.9364155103</v>
      </c>
      <c r="K25" s="47">
        <v>0</v>
      </c>
      <c r="L25" s="105">
        <f t="shared" si="0"/>
        <v>0.21472172905573661</v>
      </c>
      <c r="M25" s="61">
        <f t="shared" si="1"/>
        <v>1286.4769906177153</v>
      </c>
      <c r="O25" s="6">
        <v>8452014.8888434023</v>
      </c>
      <c r="P25" s="47">
        <v>39362643.575999998</v>
      </c>
      <c r="Q25" s="47">
        <v>6569.8919999999998</v>
      </c>
      <c r="R25" s="61">
        <v>1.9134709570489836</v>
      </c>
      <c r="S25" s="61">
        <v>2.6163221578893614</v>
      </c>
      <c r="T25" s="61">
        <v>21133870.561069701</v>
      </c>
      <c r="U25" s="47">
        <v>11044782.5106596</v>
      </c>
      <c r="V25" s="47">
        <v>8077701.9364155103</v>
      </c>
      <c r="W25" s="47">
        <v>0</v>
      </c>
      <c r="X25" s="105">
        <f t="shared" si="2"/>
        <v>0.21472172905573661</v>
      </c>
      <c r="Y25" s="61">
        <f t="shared" si="3"/>
        <v>1286.4769906177153</v>
      </c>
    </row>
    <row r="26" spans="1:25" x14ac:dyDescent="0.2">
      <c r="A26" s="7" t="s">
        <v>116</v>
      </c>
      <c r="B26" s="7" t="s">
        <v>15</v>
      </c>
      <c r="C26" s="6">
        <v>6859364.5124333706</v>
      </c>
      <c r="D26" s="47">
        <v>27967440.8711266</v>
      </c>
      <c r="E26" s="47">
        <v>4427.0780132426298</v>
      </c>
      <c r="F26" s="61">
        <v>2.8056862645191116</v>
      </c>
      <c r="G26" s="61">
        <v>3.5734918691164053</v>
      </c>
      <c r="H26" s="61">
        <v>23747505.072407097</v>
      </c>
      <c r="I26" s="47">
        <v>8464062.9184807893</v>
      </c>
      <c r="J26" s="47">
        <v>6645462.18158291</v>
      </c>
      <c r="K26" s="47">
        <v>30.196009218276515</v>
      </c>
      <c r="L26" s="105">
        <f t="shared" si="0"/>
        <v>0.24526250163685634</v>
      </c>
      <c r="M26" s="61">
        <f t="shared" si="1"/>
        <v>1549.4112576997945</v>
      </c>
      <c r="O26" s="6">
        <v>6612789.5124333706</v>
      </c>
      <c r="P26" s="47">
        <v>25704739.819623198</v>
      </c>
      <c r="Q26" s="47">
        <v>4424.1132229638297</v>
      </c>
      <c r="R26" s="61">
        <v>1.8717228827388428</v>
      </c>
      <c r="S26" s="61">
        <v>2.3504524457030076</v>
      </c>
      <c r="T26" s="61">
        <v>15082575.335306579</v>
      </c>
      <c r="U26" s="47">
        <v>8058124.1349342503</v>
      </c>
      <c r="V26" s="47">
        <v>6416881.7211681399</v>
      </c>
      <c r="W26" s="47">
        <v>30.196009218276515</v>
      </c>
      <c r="X26" s="105">
        <f t="shared" si="2"/>
        <v>0.25725953885691993</v>
      </c>
      <c r="Y26" s="61">
        <f t="shared" si="3"/>
        <v>1494.7152523377983</v>
      </c>
    </row>
    <row r="27" spans="1:25" x14ac:dyDescent="0.2">
      <c r="A27" s="7" t="s">
        <v>117</v>
      </c>
      <c r="B27" s="7" t="s">
        <v>16</v>
      </c>
      <c r="C27" s="6">
        <v>3337528.9773084675</v>
      </c>
      <c r="D27" s="47">
        <v>11107044.327913901</v>
      </c>
      <c r="E27" s="47">
        <v>1422.3419604712101</v>
      </c>
      <c r="F27" s="61">
        <v>0.82025119704268101</v>
      </c>
      <c r="G27" s="61">
        <v>2.4973672517884884</v>
      </c>
      <c r="H27" s="61">
        <v>8095550.99828183</v>
      </c>
      <c r="I27" s="47">
        <v>9869599.7366043292</v>
      </c>
      <c r="J27" s="47">
        <v>3241634.1619296102</v>
      </c>
      <c r="K27" s="47">
        <v>50.517841718619223</v>
      </c>
      <c r="L27" s="105">
        <f t="shared" si="0"/>
        <v>0.30048758956698196</v>
      </c>
      <c r="M27" s="61">
        <f t="shared" si="1"/>
        <v>2346.5025078798717</v>
      </c>
      <c r="O27" s="6">
        <v>3328123.2769295448</v>
      </c>
      <c r="P27" s="47">
        <v>10386790.0605889</v>
      </c>
      <c r="Q27" s="47">
        <v>1422.31142650723</v>
      </c>
      <c r="R27" s="61">
        <v>0.50007842392584223</v>
      </c>
      <c r="S27" s="61">
        <v>1.5252475653537494</v>
      </c>
      <c r="T27" s="61">
        <v>4930995.5349855404</v>
      </c>
      <c r="U27" s="47">
        <v>9860444.4804376699</v>
      </c>
      <c r="V27" s="47">
        <v>3232914.8703423101</v>
      </c>
      <c r="W27" s="47">
        <v>50.517841718619223</v>
      </c>
      <c r="X27" s="105">
        <f t="shared" si="2"/>
        <v>0.32041884523666303</v>
      </c>
      <c r="Y27" s="61">
        <f t="shared" si="3"/>
        <v>2339.9399139346133</v>
      </c>
    </row>
    <row r="28" spans="1:25" x14ac:dyDescent="0.2">
      <c r="A28" s="7" t="s">
        <v>118</v>
      </c>
      <c r="B28" s="7" t="s">
        <v>17</v>
      </c>
      <c r="C28" s="6">
        <v>1251201.9201551192</v>
      </c>
      <c r="D28" s="47">
        <v>1429078.6171206001</v>
      </c>
      <c r="E28" s="47">
        <v>245.77993499999999</v>
      </c>
      <c r="F28" s="61">
        <v>0.76130771520040263</v>
      </c>
      <c r="G28" s="61">
        <v>0.89428204318175664</v>
      </c>
      <c r="H28" s="61">
        <v>1107279.14791932</v>
      </c>
      <c r="I28" s="47">
        <v>1454443.61827838</v>
      </c>
      <c r="J28" s="47">
        <v>1238176.6539555499</v>
      </c>
      <c r="K28" s="47">
        <v>15.750109999999999</v>
      </c>
      <c r="L28" s="105">
        <f t="shared" si="0"/>
        <v>0.87553050277676225</v>
      </c>
      <c r="M28" s="61">
        <f t="shared" si="1"/>
        <v>5090.7407073531822</v>
      </c>
      <c r="O28" s="6">
        <v>1194176.9201551192</v>
      </c>
      <c r="P28" s="47">
        <v>857990.81712060003</v>
      </c>
      <c r="Q28" s="47">
        <v>236.347229</v>
      </c>
      <c r="R28" s="61">
        <v>0.3986633013710042</v>
      </c>
      <c r="S28" s="61">
        <v>0.44397785629338027</v>
      </c>
      <c r="T28" s="61">
        <v>526252.82330246537</v>
      </c>
      <c r="U28" s="47">
        <v>1320043.3084577399</v>
      </c>
      <c r="V28" s="47">
        <v>1185313.2219159999</v>
      </c>
      <c r="W28" s="47">
        <v>15.750109999999999</v>
      </c>
      <c r="X28" s="105">
        <f t="shared" si="2"/>
        <v>1.3918294885285054</v>
      </c>
      <c r="Y28" s="61">
        <f t="shared" si="3"/>
        <v>5052.6377026198143</v>
      </c>
    </row>
    <row r="29" spans="1:25" x14ac:dyDescent="0.2">
      <c r="A29" s="7" t="s">
        <v>119</v>
      </c>
      <c r="B29" s="7" t="s">
        <v>18</v>
      </c>
      <c r="C29" s="6">
        <v>1119770.1857853716</v>
      </c>
      <c r="D29" s="47">
        <v>3043005.2127</v>
      </c>
      <c r="E29" s="47">
        <v>611.79392213360995</v>
      </c>
      <c r="F29" s="61">
        <v>0.79626029399787568</v>
      </c>
      <c r="G29" s="61">
        <v>1.3018937281078267</v>
      </c>
      <c r="H29" s="61">
        <v>1413863.5575268699</v>
      </c>
      <c r="I29" s="47">
        <v>1775629.86398345</v>
      </c>
      <c r="J29" s="47">
        <v>1086005.3528192199</v>
      </c>
      <c r="K29" s="47">
        <v>30.328597772754812</v>
      </c>
      <c r="L29" s="105">
        <f t="shared" si="0"/>
        <v>0.36798168505003021</v>
      </c>
      <c r="M29" s="61">
        <f t="shared" si="1"/>
        <v>1830.3061623760696</v>
      </c>
      <c r="O29" s="6">
        <v>1029072.9727765052</v>
      </c>
      <c r="P29" s="47">
        <v>2513985.1655624998</v>
      </c>
      <c r="Q29" s="47">
        <v>611.79392213360995</v>
      </c>
      <c r="R29" s="61">
        <v>0.37180983819327779</v>
      </c>
      <c r="S29" s="61">
        <v>0.62026835572004413</v>
      </c>
      <c r="T29" s="61">
        <v>621463.63582973497</v>
      </c>
      <c r="U29" s="47">
        <v>1671455.5990492101</v>
      </c>
      <c r="V29" s="47">
        <v>1001927.0370617301</v>
      </c>
      <c r="W29" s="47">
        <v>30.328597772754812</v>
      </c>
      <c r="X29" s="105">
        <f t="shared" si="2"/>
        <v>0.40933931785800809</v>
      </c>
      <c r="Y29" s="61">
        <f t="shared" si="3"/>
        <v>1682.0581825782922</v>
      </c>
    </row>
    <row r="30" spans="1:25" x14ac:dyDescent="0.2">
      <c r="A30" s="7" t="s">
        <v>120</v>
      </c>
      <c r="B30" s="7" t="s">
        <v>19</v>
      </c>
      <c r="C30" s="6">
        <v>215865.68084181397</v>
      </c>
      <c r="D30" s="47">
        <v>13920</v>
      </c>
      <c r="E30" s="47">
        <v>3.1469999999999998</v>
      </c>
      <c r="F30" s="61">
        <v>6.5289597742982305E-2</v>
      </c>
      <c r="G30" s="61">
        <v>6.5439837161853379E-2</v>
      </c>
      <c r="H30" s="61">
        <v>14119.481314653878</v>
      </c>
      <c r="I30" s="47">
        <v>216259.278702196</v>
      </c>
      <c r="J30" s="47">
        <v>215762.78192337099</v>
      </c>
      <c r="K30" s="47">
        <v>0</v>
      </c>
      <c r="L30" s="105">
        <f t="shared" si="0"/>
        <v>15.50759201449813</v>
      </c>
      <c r="M30" s="61">
        <f t="shared" si="1"/>
        <v>68594.115297684781</v>
      </c>
      <c r="O30" s="6">
        <v>214455.68084181397</v>
      </c>
      <c r="P30" s="47">
        <v>0</v>
      </c>
      <c r="Q30" s="47">
        <v>0</v>
      </c>
      <c r="R30" s="61">
        <v>0</v>
      </c>
      <c r="S30" s="61">
        <v>0</v>
      </c>
      <c r="T30" s="61">
        <v>0</v>
      </c>
      <c r="U30" s="47">
        <v>214455.680841814</v>
      </c>
      <c r="V30" s="47">
        <v>214455.680841814</v>
      </c>
      <c r="W30" s="47">
        <v>0</v>
      </c>
      <c r="X30" s="105" t="e">
        <f t="shared" si="2"/>
        <v>#DIV/0!</v>
      </c>
      <c r="Y30" s="61" t="e">
        <f t="shared" si="3"/>
        <v>#DIV/0!</v>
      </c>
    </row>
    <row r="31" spans="1:25" x14ac:dyDescent="0.2">
      <c r="A31" s="7" t="s">
        <v>121</v>
      </c>
      <c r="B31" s="7" t="s">
        <v>20</v>
      </c>
      <c r="C31" s="6">
        <v>9227226.9701092523</v>
      </c>
      <c r="D31" s="47">
        <v>22210054.466499999</v>
      </c>
      <c r="E31" s="47">
        <v>6891.5982639499998</v>
      </c>
      <c r="F31" s="61">
        <v>1.1989442367280845</v>
      </c>
      <c r="G31" s="61">
        <v>1.8142872369624028</v>
      </c>
      <c r="H31" s="61">
        <v>15721807.249237549</v>
      </c>
      <c r="I31" s="47">
        <v>13113042.9319568</v>
      </c>
      <c r="J31" s="47">
        <v>8665555.7780145202</v>
      </c>
      <c r="K31" s="47">
        <v>0</v>
      </c>
      <c r="L31" s="105">
        <f t="shared" si="0"/>
        <v>0.41545269436537935</v>
      </c>
      <c r="M31" s="61">
        <f t="shared" si="1"/>
        <v>1338.909584787747</v>
      </c>
      <c r="O31" s="6">
        <v>8910473.9701092523</v>
      </c>
      <c r="P31" s="47">
        <v>20080353.566500001</v>
      </c>
      <c r="Q31" s="47">
        <v>6188.7070739500004</v>
      </c>
      <c r="R31" s="61">
        <v>0.75490597729150444</v>
      </c>
      <c r="S31" s="61">
        <v>1.1399187031272597</v>
      </c>
      <c r="T31" s="61">
        <v>9543306.7808523774</v>
      </c>
      <c r="U31" s="47">
        <v>12641715.747293999</v>
      </c>
      <c r="V31" s="47">
        <v>8371918.76461998</v>
      </c>
      <c r="W31" s="47">
        <v>0</v>
      </c>
      <c r="X31" s="105">
        <f t="shared" si="2"/>
        <v>0.44374089034839365</v>
      </c>
      <c r="Y31" s="61">
        <f t="shared" si="3"/>
        <v>1439.7957220524995</v>
      </c>
    </row>
    <row r="32" spans="1:25" x14ac:dyDescent="0.2">
      <c r="A32" s="14"/>
      <c r="B32" s="14" t="s">
        <v>21</v>
      </c>
      <c r="C32" s="15">
        <f>SUM(C24:C31)</f>
        <v>35958900.894713327</v>
      </c>
      <c r="D32" s="50">
        <f>SUM(D24:D31)</f>
        <v>146235937.64199859</v>
      </c>
      <c r="E32" s="50">
        <f>SUM(E24:E31)</f>
        <v>24305.048775135368</v>
      </c>
      <c r="F32" s="89">
        <f>H32/I32</f>
        <v>1.9528122236865668</v>
      </c>
      <c r="G32" s="89">
        <f>H32/J32</f>
        <v>3.4272109739812389</v>
      </c>
      <c r="H32" s="102">
        <f>SUM(H24:H31)</f>
        <v>118103254.72844934</v>
      </c>
      <c r="I32" s="102">
        <f>SUM(I24:I31)</f>
        <v>60478551.545263849</v>
      </c>
      <c r="J32" s="102">
        <f>SUM(J24:J31)</f>
        <v>34460456.51261849</v>
      </c>
      <c r="K32" s="50">
        <f>SUM(K24:K31)</f>
        <v>273.22490571808436</v>
      </c>
      <c r="L32" s="109">
        <f t="shared" si="0"/>
        <v>0.24589647028314346</v>
      </c>
      <c r="M32" s="138">
        <f t="shared" si="1"/>
        <v>1479.4827703246629</v>
      </c>
      <c r="O32" s="15">
        <f>SUM(O24:O31)</f>
        <v>35108607.175284699</v>
      </c>
      <c r="P32" s="50">
        <f>SUM(P24:P31)</f>
        <v>124696792.84342349</v>
      </c>
      <c r="Q32" s="50">
        <f>SUM(Q24:Q31)</f>
        <v>23533.469734190418</v>
      </c>
      <c r="R32" s="89">
        <f>T32/U32</f>
        <v>1.1444949229899113</v>
      </c>
      <c r="S32" s="89">
        <f>T32/V32</f>
        <v>2.0130753735983915</v>
      </c>
      <c r="T32" s="102">
        <f>SUM(T24:T31)</f>
        <v>67784707.779681802</v>
      </c>
      <c r="U32" s="102">
        <f>SUM(U24:U31)</f>
        <v>59226743.970693283</v>
      </c>
      <c r="V32" s="102">
        <f>SUM(V24:V31)</f>
        <v>33672215.491124898</v>
      </c>
      <c r="W32" s="50">
        <f>SUM(W24:W31)</f>
        <v>273.22490571808436</v>
      </c>
      <c r="X32" s="109">
        <f t="shared" si="2"/>
        <v>0.2815518055814723</v>
      </c>
      <c r="Y32" s="138">
        <f t="shared" si="3"/>
        <v>1491.85851350587</v>
      </c>
    </row>
    <row r="33" spans="1:25" x14ac:dyDescent="0.2">
      <c r="A33" s="49"/>
      <c r="B33" s="12"/>
      <c r="C33" s="13"/>
      <c r="D33" s="49"/>
      <c r="E33" s="49"/>
      <c r="F33" s="49"/>
      <c r="G33" s="49"/>
      <c r="H33" s="49"/>
      <c r="I33" s="49"/>
      <c r="J33" s="49"/>
      <c r="K33" s="49"/>
      <c r="L33" s="119"/>
      <c r="M33" s="119"/>
      <c r="O33" s="13"/>
      <c r="P33" s="49"/>
      <c r="Q33" s="49"/>
      <c r="R33" s="49"/>
      <c r="S33" s="49"/>
      <c r="T33" s="49"/>
      <c r="U33" s="49"/>
      <c r="V33" s="49"/>
      <c r="W33" s="49"/>
      <c r="X33" s="119"/>
      <c r="Y33" s="119"/>
    </row>
    <row r="34" spans="1:25" x14ac:dyDescent="0.2">
      <c r="A34" s="16"/>
      <c r="B34" s="16" t="s">
        <v>22</v>
      </c>
      <c r="C34" s="158"/>
      <c r="D34" s="641"/>
      <c r="E34" s="642"/>
      <c r="F34" s="154"/>
      <c r="G34" s="85"/>
      <c r="H34" s="85"/>
      <c r="I34" s="85"/>
      <c r="J34" s="85"/>
      <c r="K34" s="155"/>
      <c r="L34" s="122"/>
      <c r="M34" s="122"/>
      <c r="O34" s="173"/>
      <c r="P34" s="641"/>
      <c r="Q34" s="642"/>
      <c r="R34" s="169"/>
      <c r="S34" s="85"/>
      <c r="T34" s="85"/>
      <c r="U34" s="85"/>
      <c r="V34" s="85"/>
      <c r="W34" s="170"/>
      <c r="X34" s="122"/>
      <c r="Y34" s="122"/>
    </row>
    <row r="35" spans="1:25" x14ac:dyDescent="0.2">
      <c r="A35" s="7"/>
      <c r="B35" s="7" t="s">
        <v>23</v>
      </c>
      <c r="C35" s="87"/>
      <c r="D35" s="87"/>
      <c r="E35" s="87"/>
      <c r="F35" s="87"/>
      <c r="G35" s="87"/>
      <c r="H35" s="87"/>
      <c r="I35" s="87"/>
      <c r="J35" s="87"/>
      <c r="K35" s="97"/>
      <c r="L35" s="96"/>
      <c r="M35" s="96"/>
      <c r="O35" s="87"/>
      <c r="P35" s="87"/>
      <c r="Q35" s="87"/>
      <c r="R35" s="87"/>
      <c r="S35" s="87"/>
      <c r="T35" s="87"/>
      <c r="U35" s="87"/>
      <c r="V35" s="87"/>
      <c r="W35" s="97"/>
      <c r="X35" s="96"/>
      <c r="Y35" s="96"/>
    </row>
    <row r="36" spans="1:25" x14ac:dyDescent="0.2">
      <c r="A36" s="7" t="s">
        <v>122</v>
      </c>
      <c r="B36" s="7" t="s">
        <v>24</v>
      </c>
      <c r="C36" s="6">
        <v>975627.24497712532</v>
      </c>
      <c r="D36" s="47">
        <v>2427066.9592400002</v>
      </c>
      <c r="E36" s="47">
        <v>217.77666805999999</v>
      </c>
      <c r="F36" s="61">
        <v>1.6928911490220759</v>
      </c>
      <c r="G36" s="61">
        <v>2.6490498779627374</v>
      </c>
      <c r="H36" s="61">
        <v>2532897.56572551</v>
      </c>
      <c r="I36" s="47">
        <v>1496196.35449608</v>
      </c>
      <c r="J36" s="47">
        <v>956153.21810151997</v>
      </c>
      <c r="K36" s="47">
        <v>0</v>
      </c>
      <c r="L36" s="105">
        <f t="shared" ref="L36:L44" si="4">C36/D36</f>
        <v>0.40197788580279981</v>
      </c>
      <c r="M36" s="61">
        <f t="shared" ref="M36:M44" si="5">C36/E36</f>
        <v>4479.9438510480322</v>
      </c>
      <c r="O36" s="6">
        <v>970844.21217712527</v>
      </c>
      <c r="P36" s="47">
        <v>2373257.8402399998</v>
      </c>
      <c r="Q36" s="47">
        <v>217.77666805999999</v>
      </c>
      <c r="R36" s="61">
        <v>1.1909507893309401</v>
      </c>
      <c r="S36" s="61">
        <v>1.8502364730696941</v>
      </c>
      <c r="T36" s="61">
        <v>1760905.65230218</v>
      </c>
      <c r="U36" s="47">
        <v>1478571.2962090001</v>
      </c>
      <c r="V36" s="47">
        <v>951719.24126038502</v>
      </c>
      <c r="W36" s="47">
        <v>0</v>
      </c>
      <c r="X36" s="105">
        <f t="shared" ref="X36:X44" si="6">O36/P36</f>
        <v>0.4090765848176644</v>
      </c>
      <c r="Y36" s="61">
        <f t="shared" ref="Y36:Y44" si="7">O36/Q36</f>
        <v>4457.9808334180525</v>
      </c>
    </row>
    <row r="37" spans="1:25" x14ac:dyDescent="0.2">
      <c r="A37" s="7" t="s">
        <v>123</v>
      </c>
      <c r="B37" s="7" t="s">
        <v>25</v>
      </c>
      <c r="C37" s="6">
        <v>957726.64465546643</v>
      </c>
      <c r="D37" s="47">
        <v>2652656.8055799999</v>
      </c>
      <c r="E37" s="47">
        <v>301.84113406</v>
      </c>
      <c r="F37" s="61">
        <v>1.42883087884017</v>
      </c>
      <c r="G37" s="61">
        <v>2.5808774646450026</v>
      </c>
      <c r="H37" s="61">
        <v>2421308.1758715142</v>
      </c>
      <c r="I37" s="47">
        <v>1694607.9565672399</v>
      </c>
      <c r="J37" s="47">
        <v>938172.46616338799</v>
      </c>
      <c r="K37" s="47">
        <v>0</v>
      </c>
      <c r="L37" s="105">
        <f t="shared" si="4"/>
        <v>0.36104430947902466</v>
      </c>
      <c r="M37" s="61">
        <f t="shared" si="5"/>
        <v>3172.9493981595278</v>
      </c>
      <c r="O37" s="6">
        <v>954718.43665546644</v>
      </c>
      <c r="P37" s="47">
        <v>2618814.4655800001</v>
      </c>
      <c r="Q37" s="47">
        <v>301.84113406</v>
      </c>
      <c r="R37" s="61">
        <v>0.97528571731280933</v>
      </c>
      <c r="S37" s="61">
        <v>1.7553392797644938</v>
      </c>
      <c r="T37" s="61">
        <v>1641915.9100596046</v>
      </c>
      <c r="U37" s="47">
        <v>1683522.9727177301</v>
      </c>
      <c r="V37" s="47">
        <v>935383.79103548196</v>
      </c>
      <c r="W37" s="47">
        <v>0</v>
      </c>
      <c r="X37" s="105">
        <f t="shared" si="6"/>
        <v>0.36456131169415273</v>
      </c>
      <c r="Y37" s="61">
        <f t="shared" si="7"/>
        <v>3162.9832018378497</v>
      </c>
    </row>
    <row r="38" spans="1:25" x14ac:dyDescent="0.2">
      <c r="A38" s="7" t="s">
        <v>124</v>
      </c>
      <c r="B38" s="7" t="s">
        <v>26</v>
      </c>
      <c r="C38" s="6">
        <v>1196232.8227563512</v>
      </c>
      <c r="D38" s="47">
        <v>3258844.5</v>
      </c>
      <c r="E38" s="47">
        <v>213.55482348000001</v>
      </c>
      <c r="F38" s="61">
        <v>1.4508654813967685</v>
      </c>
      <c r="G38" s="61">
        <v>2.362849563278751</v>
      </c>
      <c r="H38" s="61">
        <v>2771193.4306777776</v>
      </c>
      <c r="I38" s="47">
        <v>1910027.8187126699</v>
      </c>
      <c r="J38" s="47">
        <v>1172818.3942579899</v>
      </c>
      <c r="K38" s="47">
        <v>0</v>
      </c>
      <c r="L38" s="105">
        <f t="shared" si="4"/>
        <v>0.36707269179500623</v>
      </c>
      <c r="M38" s="61">
        <f t="shared" si="5"/>
        <v>5601.5256563305002</v>
      </c>
      <c r="O38" s="6">
        <v>1138497.6227563513</v>
      </c>
      <c r="P38" s="47">
        <v>2609323.5</v>
      </c>
      <c r="Q38" s="47">
        <v>213.55482348000001</v>
      </c>
      <c r="R38" s="61">
        <v>0.84354747602783076</v>
      </c>
      <c r="S38" s="61">
        <v>1.279138282309056</v>
      </c>
      <c r="T38" s="61">
        <v>1431735.1190146599</v>
      </c>
      <c r="U38" s="47">
        <v>1697278.6472630301</v>
      </c>
      <c r="V38" s="47">
        <v>1119296.5911630299</v>
      </c>
      <c r="W38" s="47">
        <v>0</v>
      </c>
      <c r="X38" s="105">
        <f t="shared" si="6"/>
        <v>0.43631907762925953</v>
      </c>
      <c r="Y38" s="61">
        <f t="shared" si="7"/>
        <v>5331.1725963566196</v>
      </c>
    </row>
    <row r="39" spans="1:25" x14ac:dyDescent="0.2">
      <c r="A39" s="7" t="s">
        <v>125</v>
      </c>
      <c r="B39" s="7" t="s">
        <v>27</v>
      </c>
      <c r="C39" s="6">
        <v>3529596.7940931069</v>
      </c>
      <c r="D39" s="47">
        <v>14599388.8843309</v>
      </c>
      <c r="E39" s="47">
        <v>2170.5784915015402</v>
      </c>
      <c r="F39" s="61">
        <v>1.1687225801187642</v>
      </c>
      <c r="G39" s="61">
        <v>2.9932259246707154</v>
      </c>
      <c r="H39" s="61">
        <v>10158233.999563901</v>
      </c>
      <c r="I39" s="47">
        <v>8691741.0276539996</v>
      </c>
      <c r="J39" s="47">
        <v>3393741.1525932201</v>
      </c>
      <c r="K39" s="47">
        <v>0</v>
      </c>
      <c r="L39" s="105">
        <f t="shared" si="4"/>
        <v>0.24176332461979422</v>
      </c>
      <c r="M39" s="61">
        <f t="shared" si="5"/>
        <v>1626.108803672628</v>
      </c>
      <c r="O39" s="6">
        <v>3454244.2901668842</v>
      </c>
      <c r="P39" s="47">
        <v>13747980.847913099</v>
      </c>
      <c r="Q39" s="47">
        <v>2170.5784915015402</v>
      </c>
      <c r="R39" s="61">
        <v>0.70226930648871411</v>
      </c>
      <c r="S39" s="61">
        <v>1.7770880016201256</v>
      </c>
      <c r="T39" s="61">
        <v>5906840.9866710203</v>
      </c>
      <c r="U39" s="47">
        <v>8411076.6796924602</v>
      </c>
      <c r="V39" s="47">
        <v>3323887.7204088401</v>
      </c>
      <c r="W39" s="47">
        <v>0</v>
      </c>
      <c r="X39" s="105">
        <f t="shared" si="6"/>
        <v>0.25125466265769697</v>
      </c>
      <c r="Y39" s="61">
        <f t="shared" si="7"/>
        <v>1591.3934021235707</v>
      </c>
    </row>
    <row r="40" spans="1:25" x14ac:dyDescent="0.2">
      <c r="A40" s="7" t="s">
        <v>126</v>
      </c>
      <c r="B40" s="7" t="s">
        <v>28</v>
      </c>
      <c r="C40" s="6">
        <v>6677536.7183089592</v>
      </c>
      <c r="D40" s="47">
        <v>29969578.538721401</v>
      </c>
      <c r="E40" s="47">
        <v>3178.6142316229302</v>
      </c>
      <c r="F40" s="61">
        <v>1.8805871085106238</v>
      </c>
      <c r="G40" s="61">
        <v>3.4839105695809973</v>
      </c>
      <c r="H40" s="61">
        <v>22415890.309328198</v>
      </c>
      <c r="I40" s="47">
        <v>11919623.5090014</v>
      </c>
      <c r="J40" s="47">
        <v>6434117.5990703199</v>
      </c>
      <c r="K40" s="47">
        <v>0</v>
      </c>
      <c r="L40" s="105">
        <f t="shared" si="4"/>
        <v>0.22281049797485222</v>
      </c>
      <c r="M40" s="61">
        <f t="shared" si="5"/>
        <v>2100.7697794455403</v>
      </c>
      <c r="O40" s="6">
        <v>6677536.7183089592</v>
      </c>
      <c r="P40" s="47">
        <v>29969578.538721401</v>
      </c>
      <c r="Q40" s="47">
        <v>3178.6142316229302</v>
      </c>
      <c r="R40" s="61">
        <v>1.2431591720112993</v>
      </c>
      <c r="S40" s="61">
        <v>2.3030336427605373</v>
      </c>
      <c r="T40" s="61">
        <v>14817989.2921366</v>
      </c>
      <c r="U40" s="47">
        <v>11919623.5090014</v>
      </c>
      <c r="V40" s="47">
        <v>6434117.5990703199</v>
      </c>
      <c r="W40" s="47">
        <v>0</v>
      </c>
      <c r="X40" s="105">
        <f t="shared" si="6"/>
        <v>0.22281049797485222</v>
      </c>
      <c r="Y40" s="61">
        <f t="shared" si="7"/>
        <v>2100.7697794455403</v>
      </c>
    </row>
    <row r="41" spans="1:25" x14ac:dyDescent="0.2">
      <c r="A41" s="7" t="s">
        <v>127</v>
      </c>
      <c r="B41" s="7" t="s">
        <v>29</v>
      </c>
      <c r="C41" s="6">
        <v>2968150.6187020014</v>
      </c>
      <c r="D41" s="47">
        <v>15581435.0974677</v>
      </c>
      <c r="E41" s="47">
        <v>998.44002365358199</v>
      </c>
      <c r="F41" s="61">
        <v>1.2576675828364137</v>
      </c>
      <c r="G41" s="61">
        <v>1.7175929584487351</v>
      </c>
      <c r="H41" s="61">
        <v>4903568.4638861502</v>
      </c>
      <c r="I41" s="47">
        <v>3898938.4244341799</v>
      </c>
      <c r="J41" s="47">
        <v>2854907.1767940102</v>
      </c>
      <c r="K41" s="47">
        <v>0</v>
      </c>
      <c r="L41" s="105">
        <f t="shared" si="4"/>
        <v>0.19049276270992435</v>
      </c>
      <c r="M41" s="61">
        <f t="shared" si="5"/>
        <v>2972.7880978175099</v>
      </c>
      <c r="O41" s="6">
        <v>2968150.6187020014</v>
      </c>
      <c r="P41" s="47">
        <v>15581435.0974677</v>
      </c>
      <c r="Q41" s="47">
        <v>998.44002365358199</v>
      </c>
      <c r="R41" s="61">
        <v>0.74458769733197128</v>
      </c>
      <c r="S41" s="61">
        <v>1.0168812517220616</v>
      </c>
      <c r="T41" s="61">
        <v>2903101.5834885901</v>
      </c>
      <c r="U41" s="47">
        <v>3898938.4244341799</v>
      </c>
      <c r="V41" s="47">
        <v>2854907.1767940102</v>
      </c>
      <c r="W41" s="47">
        <v>0</v>
      </c>
      <c r="X41" s="105">
        <f t="shared" si="6"/>
        <v>0.19049276270992435</v>
      </c>
      <c r="Y41" s="61">
        <f t="shared" si="7"/>
        <v>2972.7880978175099</v>
      </c>
    </row>
    <row r="42" spans="1:25" x14ac:dyDescent="0.2">
      <c r="A42" s="7" t="s">
        <v>128</v>
      </c>
      <c r="B42" s="7" t="s">
        <v>30</v>
      </c>
      <c r="C42" s="6">
        <v>2300873.8955999939</v>
      </c>
      <c r="D42" s="47">
        <v>7784320.1458977303</v>
      </c>
      <c r="E42" s="47">
        <v>611.29435525913402</v>
      </c>
      <c r="F42" s="61">
        <v>1.5271722974343205</v>
      </c>
      <c r="G42" s="61">
        <v>2.1416301656957595</v>
      </c>
      <c r="H42" s="61">
        <v>4752356.4143284103</v>
      </c>
      <c r="I42" s="47">
        <v>3111866.5669305702</v>
      </c>
      <c r="J42" s="47">
        <v>2219036.92357849</v>
      </c>
      <c r="K42" s="47">
        <v>0</v>
      </c>
      <c r="L42" s="105">
        <f t="shared" si="4"/>
        <v>0.29557801483955343</v>
      </c>
      <c r="M42" s="61">
        <f t="shared" si="5"/>
        <v>3763.937742602955</v>
      </c>
      <c r="O42" s="6">
        <v>2300873.8955999939</v>
      </c>
      <c r="P42" s="47">
        <v>7784320.1458977303</v>
      </c>
      <c r="Q42" s="47">
        <v>611.29435525913402</v>
      </c>
      <c r="R42" s="61">
        <v>0.96492673394291928</v>
      </c>
      <c r="S42" s="61">
        <v>1.3531650649833227</v>
      </c>
      <c r="T42" s="61">
        <v>3002723.24289448</v>
      </c>
      <c r="U42" s="47">
        <v>3111866.5669305702</v>
      </c>
      <c r="V42" s="47">
        <v>2219036.92357849</v>
      </c>
      <c r="W42" s="47">
        <v>0</v>
      </c>
      <c r="X42" s="105">
        <f t="shared" si="6"/>
        <v>0.29557801483955343</v>
      </c>
      <c r="Y42" s="61">
        <f t="shared" si="7"/>
        <v>3763.937742602955</v>
      </c>
    </row>
    <row r="43" spans="1:25" x14ac:dyDescent="0.2">
      <c r="A43" s="7" t="s">
        <v>129</v>
      </c>
      <c r="B43" s="7" t="s">
        <v>31</v>
      </c>
      <c r="C43" s="6">
        <v>2006391.1916320217</v>
      </c>
      <c r="D43" s="47">
        <v>9061967.2131147496</v>
      </c>
      <c r="E43" s="47">
        <v>535.03981264637002</v>
      </c>
      <c r="F43" s="61">
        <v>1.2393920178524143</v>
      </c>
      <c r="G43" s="61">
        <v>1.6716958089007485</v>
      </c>
      <c r="H43" s="61">
        <v>3244927.3375704698</v>
      </c>
      <c r="I43" s="47">
        <v>2618160.59070091</v>
      </c>
      <c r="J43" s="47">
        <v>1941099.16426974</v>
      </c>
      <c r="K43" s="47">
        <v>0</v>
      </c>
      <c r="L43" s="105">
        <f t="shared" si="4"/>
        <v>0.22140790674328553</v>
      </c>
      <c r="M43" s="61">
        <f t="shared" si="5"/>
        <v>3749.984850114563</v>
      </c>
      <c r="O43" s="6">
        <v>2006391.1916320217</v>
      </c>
      <c r="P43" s="47">
        <v>9061967.2131147496</v>
      </c>
      <c r="Q43" s="47">
        <v>535.03981264637002</v>
      </c>
      <c r="R43" s="61">
        <v>0.7620101723345013</v>
      </c>
      <c r="S43" s="61">
        <v>1.0278016907343126</v>
      </c>
      <c r="T43" s="61">
        <v>1995065.0029194001</v>
      </c>
      <c r="U43" s="47">
        <v>2618160.59070091</v>
      </c>
      <c r="V43" s="47">
        <v>1941099.16426974</v>
      </c>
      <c r="W43" s="47">
        <v>0</v>
      </c>
      <c r="X43" s="105">
        <f t="shared" si="6"/>
        <v>0.22140790674328553</v>
      </c>
      <c r="Y43" s="61">
        <f t="shared" si="7"/>
        <v>3749.984850114563</v>
      </c>
    </row>
    <row r="44" spans="1:25" x14ac:dyDescent="0.2">
      <c r="A44" s="7" t="s">
        <v>130</v>
      </c>
      <c r="B44" s="7" t="s">
        <v>32</v>
      </c>
      <c r="C44" s="6">
        <v>1148387.6838577935</v>
      </c>
      <c r="D44" s="47">
        <v>6171187.5</v>
      </c>
      <c r="E44" s="47">
        <v>678.54375000000005</v>
      </c>
      <c r="F44" s="61">
        <v>2.2669793941222034</v>
      </c>
      <c r="G44" s="61">
        <v>2.7527980790898732</v>
      </c>
      <c r="H44" s="61">
        <v>3030168.0998460199</v>
      </c>
      <c r="I44" s="47">
        <v>1336654.45204425</v>
      </c>
      <c r="J44" s="47">
        <v>1100759.3048189899</v>
      </c>
      <c r="K44" s="47">
        <v>0</v>
      </c>
      <c r="L44" s="105">
        <f t="shared" si="4"/>
        <v>0.18608860674834357</v>
      </c>
      <c r="M44" s="61">
        <f t="shared" si="5"/>
        <v>1692.4298305861537</v>
      </c>
      <c r="O44" s="6">
        <v>1148387.6838577935</v>
      </c>
      <c r="P44" s="47">
        <v>6171187.5</v>
      </c>
      <c r="Q44" s="47">
        <v>678.54375000000005</v>
      </c>
      <c r="R44" s="61">
        <v>1.334207248135804</v>
      </c>
      <c r="S44" s="61">
        <v>1.6201308045846496</v>
      </c>
      <c r="T44" s="61">
        <v>1783374.0581704299</v>
      </c>
      <c r="U44" s="47">
        <v>1336654.45204425</v>
      </c>
      <c r="V44" s="47">
        <v>1100759.3048189899</v>
      </c>
      <c r="W44" s="47">
        <v>0</v>
      </c>
      <c r="X44" s="105">
        <f t="shared" si="6"/>
        <v>0.18608860674834357</v>
      </c>
      <c r="Y44" s="61">
        <f t="shared" si="7"/>
        <v>1692.4298305861537</v>
      </c>
    </row>
    <row r="45" spans="1:25" x14ac:dyDescent="0.2">
      <c r="A45" s="7" t="s">
        <v>131</v>
      </c>
      <c r="B45" s="7" t="s">
        <v>33</v>
      </c>
      <c r="C45" s="87"/>
      <c r="D45" s="87"/>
      <c r="E45" s="87"/>
      <c r="F45" s="87"/>
      <c r="G45" s="64"/>
      <c r="H45" s="64"/>
      <c r="I45" s="64"/>
      <c r="J45" s="64"/>
      <c r="K45" s="97"/>
      <c r="L45" s="96"/>
      <c r="M45" s="96"/>
      <c r="O45" s="87"/>
      <c r="P45" s="87"/>
      <c r="Q45" s="87"/>
      <c r="R45" s="87"/>
      <c r="S45" s="64"/>
      <c r="T45" s="64"/>
      <c r="U45" s="64"/>
      <c r="V45" s="64"/>
      <c r="W45" s="97"/>
      <c r="X45" s="96"/>
      <c r="Y45" s="96"/>
    </row>
    <row r="46" spans="1:25" x14ac:dyDescent="0.2">
      <c r="A46" s="7" t="s">
        <v>132</v>
      </c>
      <c r="B46" s="7" t="s">
        <v>34</v>
      </c>
      <c r="C46" s="87"/>
      <c r="D46" s="87"/>
      <c r="E46" s="87"/>
      <c r="F46" s="87"/>
      <c r="G46" s="64"/>
      <c r="H46" s="64"/>
      <c r="I46" s="64"/>
      <c r="J46" s="64"/>
      <c r="K46" s="97"/>
      <c r="L46" s="96"/>
      <c r="M46" s="96"/>
      <c r="O46" s="87"/>
      <c r="P46" s="87"/>
      <c r="Q46" s="87"/>
      <c r="R46" s="87"/>
      <c r="S46" s="64"/>
      <c r="T46" s="64"/>
      <c r="U46" s="64"/>
      <c r="V46" s="64"/>
      <c r="W46" s="97"/>
      <c r="X46" s="96"/>
      <c r="Y46" s="96"/>
    </row>
    <row r="47" spans="1:25" x14ac:dyDescent="0.2">
      <c r="A47" s="7" t="s">
        <v>133</v>
      </c>
      <c r="B47" s="7" t="s">
        <v>35</v>
      </c>
      <c r="C47" s="6">
        <v>2345209.4419055502</v>
      </c>
      <c r="D47" s="47">
        <v>2924847.9517709999</v>
      </c>
      <c r="E47" s="47">
        <v>703.29101056000002</v>
      </c>
      <c r="F47" s="61">
        <v>0.80383074776619279</v>
      </c>
      <c r="G47" s="61">
        <v>0.87992814514149487</v>
      </c>
      <c r="H47" s="61">
        <v>1956343.1439561525</v>
      </c>
      <c r="I47" s="47">
        <v>2433774.9574680198</v>
      </c>
      <c r="J47" s="47">
        <v>2223298.7486058502</v>
      </c>
      <c r="K47" s="47">
        <v>0</v>
      </c>
      <c r="L47" s="105">
        <f t="shared" ref="L47:L52" si="8">C47/D47</f>
        <v>0.80182268636751608</v>
      </c>
      <c r="M47" s="61">
        <f t="shared" ref="M47:M52" si="9">C47/E47</f>
        <v>3334.6216668376892</v>
      </c>
      <c r="O47" s="6">
        <v>1373314.95190555</v>
      </c>
      <c r="P47" s="47">
        <v>685116.02027099999</v>
      </c>
      <c r="Q47" s="47">
        <v>123.66174456</v>
      </c>
      <c r="R47" s="61">
        <v>0.19267344877064238</v>
      </c>
      <c r="S47" s="61">
        <v>0.21118038125978483</v>
      </c>
      <c r="T47" s="61">
        <v>279250.39266380691</v>
      </c>
      <c r="U47" s="47">
        <v>1449345.4829690901</v>
      </c>
      <c r="V47" s="47">
        <v>1322331.1322669</v>
      </c>
      <c r="W47" s="47">
        <v>0</v>
      </c>
      <c r="X47" s="105">
        <f t="shared" ref="X47:X52" si="10">O47/P47</f>
        <v>2.004499838381141</v>
      </c>
      <c r="Y47" s="61">
        <f t="shared" ref="Y47:Y52" si="11">O47/Q47</f>
        <v>11105.414667987521</v>
      </c>
    </row>
    <row r="48" spans="1:25" x14ac:dyDescent="0.2">
      <c r="A48" s="7" t="s">
        <v>134</v>
      </c>
      <c r="B48" s="7" t="s">
        <v>36</v>
      </c>
      <c r="C48" s="6">
        <v>1342280.7549355766</v>
      </c>
      <c r="D48" s="47">
        <v>5502162.1229999997</v>
      </c>
      <c r="E48" s="47">
        <v>347.625</v>
      </c>
      <c r="F48" s="61">
        <v>1.4543214028808997</v>
      </c>
      <c r="G48" s="61">
        <v>4.0897430280527525</v>
      </c>
      <c r="H48" s="61">
        <v>5326319.5992758796</v>
      </c>
      <c r="I48" s="47">
        <v>3662408.8655539602</v>
      </c>
      <c r="J48" s="47">
        <v>1302360.4570607699</v>
      </c>
      <c r="K48" s="47">
        <v>0</v>
      </c>
      <c r="L48" s="105">
        <f t="shared" si="8"/>
        <v>0.24395514434673024</v>
      </c>
      <c r="M48" s="61">
        <f t="shared" si="9"/>
        <v>3861.2894784194941</v>
      </c>
      <c r="O48" s="6">
        <v>1342280.7549355766</v>
      </c>
      <c r="P48" s="47">
        <v>5502162.1229999997</v>
      </c>
      <c r="Q48" s="47">
        <v>347.625</v>
      </c>
      <c r="R48" s="61">
        <v>1.0335730885782823</v>
      </c>
      <c r="S48" s="61">
        <v>2.9065434398631003</v>
      </c>
      <c r="T48" s="61">
        <v>3785367.2428070898</v>
      </c>
      <c r="U48" s="47">
        <v>3662408.8655539602</v>
      </c>
      <c r="V48" s="47">
        <v>1302360.4570607699</v>
      </c>
      <c r="W48" s="47">
        <v>0</v>
      </c>
      <c r="X48" s="105">
        <f t="shared" si="10"/>
        <v>0.24395514434673024</v>
      </c>
      <c r="Y48" s="61">
        <f t="shared" si="11"/>
        <v>3861.2894784194941</v>
      </c>
    </row>
    <row r="49" spans="1:25" x14ac:dyDescent="0.2">
      <c r="A49" s="7" t="s">
        <v>197</v>
      </c>
      <c r="B49" s="7" t="s">
        <v>216</v>
      </c>
      <c r="C49" s="6">
        <v>1122986.0010460517</v>
      </c>
      <c r="D49" s="47">
        <v>4353238.95</v>
      </c>
      <c r="E49" s="47">
        <v>595.39592500000003</v>
      </c>
      <c r="F49" s="61">
        <v>1.8885863866322055</v>
      </c>
      <c r="G49" s="61">
        <v>2.5300358730756751</v>
      </c>
      <c r="H49" s="61">
        <v>2748451.4098398401</v>
      </c>
      <c r="I49" s="47">
        <v>1455295.57413626</v>
      </c>
      <c r="J49" s="47">
        <v>1086329.02761914</v>
      </c>
      <c r="K49" s="47">
        <v>0</v>
      </c>
      <c r="L49" s="105">
        <f t="shared" si="8"/>
        <v>0.25796562374460325</v>
      </c>
      <c r="M49" s="61">
        <f t="shared" si="9"/>
        <v>1886.1163704572746</v>
      </c>
      <c r="O49" s="6">
        <v>1122986.0010460517</v>
      </c>
      <c r="P49" s="47">
        <v>4353238.95</v>
      </c>
      <c r="Q49" s="47">
        <v>595.39592500000003</v>
      </c>
      <c r="R49" s="61">
        <v>1.1722803311083905</v>
      </c>
      <c r="S49" s="61">
        <v>1.5704398337288541</v>
      </c>
      <c r="T49" s="61">
        <v>1706014.37750903</v>
      </c>
      <c r="U49" s="47">
        <v>1455295.57413626</v>
      </c>
      <c r="V49" s="47">
        <v>1086329.02761914</v>
      </c>
      <c r="W49" s="47">
        <v>0</v>
      </c>
      <c r="X49" s="105">
        <f t="shared" si="10"/>
        <v>0.25796562374460325</v>
      </c>
      <c r="Y49" s="61">
        <f t="shared" si="11"/>
        <v>1886.1163704572746</v>
      </c>
    </row>
    <row r="50" spans="1:25" x14ac:dyDescent="0.2">
      <c r="A50" s="7" t="s">
        <v>208</v>
      </c>
      <c r="B50" s="7" t="s">
        <v>217</v>
      </c>
      <c r="C50" s="6">
        <v>1519604.2599753535</v>
      </c>
      <c r="D50" s="47">
        <v>5531052.6831857804</v>
      </c>
      <c r="E50" s="47">
        <v>1282.0771858744099</v>
      </c>
      <c r="F50" s="61">
        <v>1.2123239750581376</v>
      </c>
      <c r="G50" s="61">
        <v>2.8742634170353756</v>
      </c>
      <c r="H50" s="61">
        <v>4239794.4432519898</v>
      </c>
      <c r="I50" s="47">
        <v>3497245.3984906701</v>
      </c>
      <c r="J50" s="47">
        <v>1475089.0325929399</v>
      </c>
      <c r="K50" s="47">
        <v>0</v>
      </c>
      <c r="L50" s="105">
        <f t="shared" si="8"/>
        <v>0.27474051451270765</v>
      </c>
      <c r="M50" s="61">
        <f t="shared" si="9"/>
        <v>1185.2673744747622</v>
      </c>
      <c r="O50" s="6">
        <v>1503426.4162320644</v>
      </c>
      <c r="P50" s="47">
        <v>5349061.6880737804</v>
      </c>
      <c r="Q50" s="47">
        <v>1272.3301858744101</v>
      </c>
      <c r="R50" s="61">
        <v>0.73748500951114704</v>
      </c>
      <c r="S50" s="61">
        <v>1.7209479518571758</v>
      </c>
      <c r="T50" s="61">
        <v>2512742.0182449101</v>
      </c>
      <c r="U50" s="47">
        <v>3407177.0759252701</v>
      </c>
      <c r="V50" s="47">
        <v>1460091.8148240701</v>
      </c>
      <c r="W50" s="47">
        <v>0</v>
      </c>
      <c r="X50" s="105">
        <f t="shared" si="10"/>
        <v>0.28106357785779335</v>
      </c>
      <c r="Y50" s="61">
        <f t="shared" si="11"/>
        <v>1181.6322782586765</v>
      </c>
    </row>
    <row r="51" spans="1:25" x14ac:dyDescent="0.2">
      <c r="A51" s="7" t="s">
        <v>136</v>
      </c>
      <c r="B51" s="7" t="s">
        <v>37</v>
      </c>
      <c r="C51" s="6">
        <v>17665434.586961299</v>
      </c>
      <c r="D51" s="47">
        <v>38201472.706009001</v>
      </c>
      <c r="E51" s="47">
        <v>11372.823383999999</v>
      </c>
      <c r="F51" s="61">
        <v>1.4616131232984739</v>
      </c>
      <c r="G51" s="61">
        <v>1.5208460576033991</v>
      </c>
      <c r="H51" s="61">
        <v>25254983.62708931</v>
      </c>
      <c r="I51" s="47">
        <v>17278842.960916702</v>
      </c>
      <c r="J51" s="47">
        <v>16605877.6960549</v>
      </c>
      <c r="K51" s="47">
        <v>257.59103399999998</v>
      </c>
      <c r="L51" s="105">
        <f t="shared" si="8"/>
        <v>0.46242810383021093</v>
      </c>
      <c r="M51" s="61">
        <f t="shared" si="9"/>
        <v>1553.3024641721017</v>
      </c>
      <c r="O51" s="6">
        <v>17329695.256960094</v>
      </c>
      <c r="P51" s="47">
        <v>37436526.206009001</v>
      </c>
      <c r="Q51" s="47">
        <v>11120.064883999999</v>
      </c>
      <c r="R51" s="61">
        <v>0.95920100322773261</v>
      </c>
      <c r="S51" s="61">
        <v>0.99789973981149638</v>
      </c>
      <c r="T51" s="61">
        <v>16260416.952677054</v>
      </c>
      <c r="U51" s="47">
        <v>16952043.3130912</v>
      </c>
      <c r="V51" s="47">
        <v>16294639.9362211</v>
      </c>
      <c r="W51" s="47">
        <v>257.59103399999998</v>
      </c>
      <c r="X51" s="105">
        <f t="shared" si="10"/>
        <v>0.4629087421625801</v>
      </c>
      <c r="Y51" s="61">
        <f t="shared" si="11"/>
        <v>1558.416739266941</v>
      </c>
    </row>
    <row r="52" spans="1:25" x14ac:dyDescent="0.2">
      <c r="A52" s="16"/>
      <c r="B52" s="16" t="s">
        <v>38</v>
      </c>
      <c r="C52" s="17">
        <f>SUM(C35:C51)</f>
        <v>45756038.659406655</v>
      </c>
      <c r="D52" s="51">
        <f>SUM(D35:D51)</f>
        <v>148019220.05831829</v>
      </c>
      <c r="E52" s="51">
        <f>SUM(E35:E51)</f>
        <v>23206.895795717966</v>
      </c>
      <c r="F52" s="90">
        <f>H52/I52</f>
        <v>1.4730539142245203</v>
      </c>
      <c r="G52" s="90">
        <f>H52/J52</f>
        <v>2.1910342549010466</v>
      </c>
      <c r="H52" s="135">
        <f>SUM(H35:H51)</f>
        <v>95756436.020211115</v>
      </c>
      <c r="I52" s="135">
        <f>SUM(I35:I51)</f>
        <v>65005384.457106903</v>
      </c>
      <c r="J52" s="135">
        <f>SUM(J35:J51)</f>
        <v>43703760.361581273</v>
      </c>
      <c r="K52" s="51">
        <f>SUM(K35:K51)</f>
        <v>257.59103399999998</v>
      </c>
      <c r="L52" s="110">
        <f t="shared" si="8"/>
        <v>0.30912227912955609</v>
      </c>
      <c r="M52" s="90">
        <f t="shared" si="9"/>
        <v>1971.6570049773463</v>
      </c>
      <c r="O52" s="17">
        <f>SUM(O35:O51)</f>
        <v>44291348.050935932</v>
      </c>
      <c r="P52" s="51">
        <f>SUM(P35:P51)</f>
        <v>143243970.13628846</v>
      </c>
      <c r="Q52" s="51">
        <f>SUM(Q35:Q51)</f>
        <v>22364.761029717971</v>
      </c>
      <c r="R52" s="90">
        <f>T52/U52</f>
        <v>0.94777395250725194</v>
      </c>
      <c r="S52" s="90">
        <f>T52/V52</f>
        <v>1.4118806611169543</v>
      </c>
      <c r="T52" s="135">
        <f>SUM(T35:T51)</f>
        <v>59787441.831558853</v>
      </c>
      <c r="U52" s="135">
        <f>SUM(U35:U51)</f>
        <v>63081963.450669304</v>
      </c>
      <c r="V52" s="135">
        <f>SUM(V35:V51)</f>
        <v>42345959.88039127</v>
      </c>
      <c r="W52" s="51">
        <f>SUM(W35:W51)</f>
        <v>257.59103399999998</v>
      </c>
      <c r="X52" s="110">
        <f t="shared" si="10"/>
        <v>0.3092021814865592</v>
      </c>
      <c r="Y52" s="90">
        <f t="shared" si="11"/>
        <v>1980.4078385672099</v>
      </c>
    </row>
    <row r="53" spans="1:25" x14ac:dyDescent="0.2">
      <c r="A53" s="18"/>
      <c r="B53" s="18"/>
      <c r="C53" s="19"/>
      <c r="D53" s="52"/>
      <c r="E53" s="52"/>
      <c r="F53" s="52"/>
      <c r="G53" s="52"/>
      <c r="H53" s="52"/>
      <c r="I53" s="52"/>
      <c r="J53" s="52"/>
      <c r="K53" s="52"/>
      <c r="L53" s="123"/>
      <c r="M53" s="123"/>
      <c r="O53" s="19"/>
      <c r="P53" s="52"/>
      <c r="Q53" s="52"/>
      <c r="R53" s="52"/>
      <c r="S53" s="52"/>
      <c r="T53" s="52"/>
      <c r="U53" s="52"/>
      <c r="V53" s="52"/>
      <c r="W53" s="52"/>
      <c r="X53" s="123"/>
      <c r="Y53" s="123"/>
    </row>
    <row r="54" spans="1:25" x14ac:dyDescent="0.2">
      <c r="A54" s="66"/>
      <c r="B54" s="66" t="s">
        <v>189</v>
      </c>
      <c r="C54" s="67">
        <f>C52+SUM(C24:C30)+C88</f>
        <v>91271180.60240531</v>
      </c>
      <c r="D54" s="68">
        <f>D52+SUM(D24:D30)+D88</f>
        <v>304026420.027484</v>
      </c>
      <c r="E54" s="68">
        <f>E52+SUM(E24:E30)+E88</f>
        <v>44124.349699979852</v>
      </c>
      <c r="F54" s="93">
        <f>H54/I54</f>
        <v>1.5768892273803468</v>
      </c>
      <c r="G54" s="93">
        <f>H54/J54</f>
        <v>2.491569492894568</v>
      </c>
      <c r="H54" s="101">
        <f>H52+SUM(H24:H30)+H88</f>
        <v>218293348.57452673</v>
      </c>
      <c r="I54" s="101">
        <f>I52+SUM(I24:I30)+I88</f>
        <v>138432899.90456268</v>
      </c>
      <c r="J54" s="101">
        <f>J52+SUM(J24:J30)+J88</f>
        <v>87612787.520899355</v>
      </c>
      <c r="K54" s="68">
        <f>K52+SUM(K24:K30)+K88</f>
        <v>755.62359034085739</v>
      </c>
      <c r="L54" s="111">
        <f>C54/D54</f>
        <v>0.30020805624114638</v>
      </c>
      <c r="M54" s="139">
        <f>C54/E54</f>
        <v>2068.499167081141</v>
      </c>
      <c r="O54" s="67">
        <f>O52+SUM(O24:O30)+O88</f>
        <v>87485171.430068031</v>
      </c>
      <c r="P54" s="68">
        <f>P52+SUM(P24:P30)+P88</f>
        <v>271265277.72687906</v>
      </c>
      <c r="Q54" s="68">
        <f>Q52+SUM(Q24:Q30)+Q88</f>
        <v>43202.988773095632</v>
      </c>
      <c r="R54" s="93">
        <f>T54/U54</f>
        <v>0.98258795724563208</v>
      </c>
      <c r="S54" s="93">
        <f>T54/V54</f>
        <v>1.5324367746002672</v>
      </c>
      <c r="T54" s="101">
        <f>T52+SUM(T24:T30)+T88</f>
        <v>128882642.7812583</v>
      </c>
      <c r="U54" s="101">
        <f>U52+SUM(U24:U30)+U88</f>
        <v>131166519.83252385</v>
      </c>
      <c r="V54" s="101">
        <f>V52+SUM(V24:V30)+V88</f>
        <v>84103073.560654446</v>
      </c>
      <c r="W54" s="68">
        <f>W52+SUM(W24:W30)+W88</f>
        <v>755.62359034085739</v>
      </c>
      <c r="X54" s="111">
        <f>O54/P54</f>
        <v>0.32250781288031882</v>
      </c>
      <c r="Y54" s="139">
        <f>O54/Q54</f>
        <v>2024.9796117010503</v>
      </c>
    </row>
    <row r="55" spans="1:25" x14ac:dyDescent="0.2">
      <c r="A55" s="11"/>
      <c r="B55" s="11" t="s">
        <v>39</v>
      </c>
      <c r="C55" s="20">
        <f>C52+C32+C20+C21</f>
        <v>111256778.83399646</v>
      </c>
      <c r="D55" s="160">
        <f>D52+D32+D20+D21</f>
        <v>327153840.66092736</v>
      </c>
      <c r="E55" s="160">
        <f>E52+E32+E20+E21</f>
        <v>59447.754263032344</v>
      </c>
      <c r="F55" s="92">
        <f>H55/I55</f>
        <v>1.4947415614537019</v>
      </c>
      <c r="G55" s="92">
        <f>H55/J55</f>
        <v>2.295988540760999</v>
      </c>
      <c r="H55" s="20">
        <f>H52+H32+H20+H21</f>
        <v>244572128.39291579</v>
      </c>
      <c r="I55" s="20">
        <f>I52+I32+I20+I21</f>
        <v>163621681.96825853</v>
      </c>
      <c r="J55" s="20">
        <f>J52+J32+J20+J21</f>
        <v>106521493.48787823</v>
      </c>
      <c r="K55" s="160">
        <f>K52+K32+K20+K21</f>
        <v>5056.711730793646</v>
      </c>
      <c r="L55" s="112">
        <f>C55/D55</f>
        <v>0.34007480581377775</v>
      </c>
      <c r="M55" s="140">
        <f>C55/E55</f>
        <v>1871.5051596689434</v>
      </c>
      <c r="O55" s="20">
        <f>O52+O32+O20+O21</f>
        <v>108925616.66235383</v>
      </c>
      <c r="P55" s="160">
        <f>P52+P32+P20+P21</f>
        <v>300657454.9452104</v>
      </c>
      <c r="Q55" s="160">
        <f>Q52+Q32+Q20+Q21</f>
        <v>57824.293456087398</v>
      </c>
      <c r="R55" s="92">
        <f>T55/U55</f>
        <v>0.91950599238904607</v>
      </c>
      <c r="S55" s="92">
        <f>T55/V55</f>
        <v>1.4128786360065455</v>
      </c>
      <c r="T55" s="20">
        <f>T52+T32+T20+T21</f>
        <v>147448656.98482317</v>
      </c>
      <c r="U55" s="20">
        <f>U52+U32+U20+U21</f>
        <v>160356385.06468499</v>
      </c>
      <c r="V55" s="20">
        <f>V52+V32+V20+V21</f>
        <v>104360454.76742567</v>
      </c>
      <c r="W55" s="160">
        <f>W52+W32+W20+W21</f>
        <v>5056.711730793646</v>
      </c>
      <c r="X55" s="112">
        <f>O55/P55</f>
        <v>0.36229142125281288</v>
      </c>
      <c r="Y55" s="140">
        <f>O55/Q55</f>
        <v>1883.7345024383828</v>
      </c>
    </row>
    <row r="56" spans="1:25" x14ac:dyDescent="0.2">
      <c r="A56" s="21"/>
      <c r="B56" s="21"/>
      <c r="C56" s="19"/>
      <c r="D56" s="52"/>
      <c r="E56" s="52"/>
      <c r="F56" s="52"/>
      <c r="G56" s="52"/>
      <c r="H56" s="52"/>
      <c r="I56" s="52"/>
      <c r="J56" s="52"/>
      <c r="K56" s="52"/>
      <c r="L56" s="123"/>
      <c r="M56" s="123"/>
      <c r="O56" s="19"/>
      <c r="P56" s="52"/>
      <c r="Q56" s="52"/>
      <c r="R56" s="52"/>
      <c r="S56" s="52"/>
      <c r="T56" s="52"/>
      <c r="U56" s="52"/>
      <c r="V56" s="52"/>
      <c r="W56" s="52"/>
      <c r="X56" s="123"/>
      <c r="Y56" s="123"/>
    </row>
    <row r="57" spans="1:25" x14ac:dyDescent="0.2">
      <c r="A57" s="22"/>
      <c r="B57" s="22" t="s">
        <v>40</v>
      </c>
      <c r="C57" s="159"/>
      <c r="D57" s="631"/>
      <c r="E57" s="632"/>
      <c r="F57" s="146"/>
      <c r="G57" s="86"/>
      <c r="H57" s="86"/>
      <c r="I57" s="86"/>
      <c r="J57" s="86"/>
      <c r="K57" s="147"/>
      <c r="L57" s="124"/>
      <c r="M57" s="124"/>
      <c r="O57" s="174"/>
      <c r="P57" s="631"/>
      <c r="Q57" s="632"/>
      <c r="R57" s="161"/>
      <c r="S57" s="86"/>
      <c r="T57" s="86"/>
      <c r="U57" s="86"/>
      <c r="V57" s="86"/>
      <c r="W57" s="162"/>
      <c r="X57" s="124"/>
      <c r="Y57" s="124"/>
    </row>
    <row r="58" spans="1:25" x14ac:dyDescent="0.2">
      <c r="A58" s="7" t="s">
        <v>182</v>
      </c>
      <c r="B58" s="7" t="s">
        <v>41</v>
      </c>
      <c r="C58" s="6">
        <v>1065771.0533444288</v>
      </c>
      <c r="D58" s="47">
        <v>990000</v>
      </c>
      <c r="E58" s="47">
        <v>75.031578947368402</v>
      </c>
      <c r="F58" s="61">
        <v>0.93234949571698067</v>
      </c>
      <c r="G58" s="61">
        <v>0.8029627781798111</v>
      </c>
      <c r="H58" s="61">
        <v>840304.46009834099</v>
      </c>
      <c r="I58" s="47">
        <v>901276.25312023505</v>
      </c>
      <c r="J58" s="47">
        <v>1046504.87286992</v>
      </c>
      <c r="K58" s="47">
        <v>0</v>
      </c>
      <c r="L58" s="105">
        <f>C58/D58</f>
        <v>1.076536417519625</v>
      </c>
      <c r="M58" s="61">
        <f>C58/E58</f>
        <v>14204.299953383945</v>
      </c>
      <c r="O58" s="6">
        <v>1065771.0533444288</v>
      </c>
      <c r="P58" s="47">
        <v>990000</v>
      </c>
      <c r="Q58" s="47">
        <v>75.031578947368402</v>
      </c>
      <c r="R58" s="61">
        <v>0.58653823991119458</v>
      </c>
      <c r="S58" s="61">
        <v>0.50514144834240804</v>
      </c>
      <c r="T58" s="61">
        <v>528632.987178899</v>
      </c>
      <c r="U58" s="47">
        <v>901276.25312023505</v>
      </c>
      <c r="V58" s="47">
        <v>1046504.87286992</v>
      </c>
      <c r="W58" s="47">
        <v>0</v>
      </c>
      <c r="X58" s="105">
        <f>O58/P58</f>
        <v>1.076536417519625</v>
      </c>
      <c r="Y58" s="61">
        <f>O58/Q58</f>
        <v>14204.299953383945</v>
      </c>
    </row>
    <row r="59" spans="1:25" x14ac:dyDescent="0.2">
      <c r="A59" s="7" t="s">
        <v>181</v>
      </c>
      <c r="B59" s="7" t="s">
        <v>42</v>
      </c>
      <c r="C59" s="63"/>
      <c r="D59" s="64"/>
      <c r="E59" s="64"/>
      <c r="F59" s="65"/>
      <c r="G59" s="87"/>
      <c r="H59" s="87"/>
      <c r="I59" s="64"/>
      <c r="J59" s="64"/>
      <c r="K59" s="64"/>
      <c r="L59" s="96"/>
      <c r="M59" s="96"/>
      <c r="O59" s="63"/>
      <c r="P59" s="64"/>
      <c r="Q59" s="64"/>
      <c r="R59" s="65"/>
      <c r="S59" s="87"/>
      <c r="T59" s="87"/>
      <c r="U59" s="64"/>
      <c r="V59" s="64"/>
      <c r="W59" s="64"/>
      <c r="X59" s="96"/>
      <c r="Y59" s="96"/>
    </row>
    <row r="60" spans="1:25" x14ac:dyDescent="0.2">
      <c r="A60" s="7" t="s">
        <v>137</v>
      </c>
      <c r="B60" s="7" t="s">
        <v>43</v>
      </c>
      <c r="C60" s="6">
        <v>1403757.7332113199</v>
      </c>
      <c r="D60" s="47">
        <v>2922248.4396629999</v>
      </c>
      <c r="E60" s="47">
        <v>333.25974481318201</v>
      </c>
      <c r="F60" s="61">
        <v>0.85597044854787996</v>
      </c>
      <c r="G60" s="61">
        <v>1.259680019244005</v>
      </c>
      <c r="H60" s="61">
        <v>1659313.5316990262</v>
      </c>
      <c r="I60" s="47">
        <v>1938517.31039779</v>
      </c>
      <c r="J60" s="47">
        <v>1317250.0209178999</v>
      </c>
      <c r="K60" s="47">
        <v>0</v>
      </c>
      <c r="L60" s="105">
        <f>C60/D60</f>
        <v>0.48036905902949317</v>
      </c>
      <c r="M60" s="61">
        <f>C60/E60</f>
        <v>4212.2031090140672</v>
      </c>
      <c r="O60" s="6">
        <v>1403757.7332113199</v>
      </c>
      <c r="P60" s="47">
        <v>2922248.4396629999</v>
      </c>
      <c r="Q60" s="47">
        <v>333.25974481318201</v>
      </c>
      <c r="R60" s="61">
        <v>0.64995142256261162</v>
      </c>
      <c r="S60" s="61">
        <v>0.95649425966782331</v>
      </c>
      <c r="T60" s="61">
        <v>1259942.0835552914</v>
      </c>
      <c r="U60" s="47">
        <v>1938517.31039779</v>
      </c>
      <c r="V60" s="47">
        <v>1317250.0209178999</v>
      </c>
      <c r="W60" s="47">
        <v>0</v>
      </c>
      <c r="X60" s="105">
        <f>O60/P60</f>
        <v>0.48036905902949317</v>
      </c>
      <c r="Y60" s="61">
        <f>O60/Q60</f>
        <v>4212.2031090140672</v>
      </c>
    </row>
    <row r="61" spans="1:25" x14ac:dyDescent="0.2">
      <c r="A61" s="7" t="s">
        <v>138</v>
      </c>
      <c r="B61" s="7" t="s">
        <v>44</v>
      </c>
      <c r="C61" s="6">
        <v>223443.33342822894</v>
      </c>
      <c r="D61" s="47">
        <v>1150241.1969111101</v>
      </c>
      <c r="E61" s="47">
        <v>150.859790311111</v>
      </c>
      <c r="F61" s="61">
        <v>1.2372892215784721</v>
      </c>
      <c r="G61" s="61">
        <v>1.8835578803211988</v>
      </c>
      <c r="H61" s="61">
        <v>402622.67473051598</v>
      </c>
      <c r="I61" s="47">
        <v>325407.08163356502</v>
      </c>
      <c r="J61" s="47">
        <v>213756.46532394199</v>
      </c>
      <c r="K61" s="47">
        <v>0</v>
      </c>
      <c r="L61" s="105">
        <f>C61/D61</f>
        <v>0.19425780786522856</v>
      </c>
      <c r="M61" s="61">
        <f>C61/E61</f>
        <v>1481.132467222925</v>
      </c>
      <c r="O61" s="6">
        <v>223443.33342822894</v>
      </c>
      <c r="P61" s="47">
        <v>1150241.1969111101</v>
      </c>
      <c r="Q61" s="47">
        <v>150.859790311111</v>
      </c>
      <c r="R61" s="61">
        <v>0.71695224153631165</v>
      </c>
      <c r="S61" s="61">
        <v>1.0914352285691677</v>
      </c>
      <c r="T61" s="61">
        <v>233301.33658897399</v>
      </c>
      <c r="U61" s="47">
        <v>325407.08163356502</v>
      </c>
      <c r="V61" s="47">
        <v>213756.46532394199</v>
      </c>
      <c r="W61" s="47">
        <v>0</v>
      </c>
      <c r="X61" s="105">
        <f>O61/P61</f>
        <v>0.19425780786522856</v>
      </c>
      <c r="Y61" s="61">
        <f>O61/Q61</f>
        <v>1481.132467222925</v>
      </c>
    </row>
    <row r="62" spans="1:25" x14ac:dyDescent="0.2">
      <c r="A62" s="7" t="s">
        <v>139</v>
      </c>
      <c r="B62" s="7" t="s">
        <v>45</v>
      </c>
      <c r="C62" s="6">
        <v>163860.05485484516</v>
      </c>
      <c r="D62" s="47">
        <v>163710</v>
      </c>
      <c r="E62" s="47">
        <v>1.2201313937118701</v>
      </c>
      <c r="F62" s="61">
        <v>0.38221397498433685</v>
      </c>
      <c r="G62" s="61">
        <v>0.73840899052218811</v>
      </c>
      <c r="H62" s="61">
        <v>119189.105358992</v>
      </c>
      <c r="I62" s="47">
        <v>311838.69026211399</v>
      </c>
      <c r="J62" s="47">
        <v>161413.39946945099</v>
      </c>
      <c r="K62" s="47">
        <v>1.2201313937118723</v>
      </c>
      <c r="L62" s="105">
        <f>C62/D62</f>
        <v>1.000916589425479</v>
      </c>
      <c r="M62" s="61">
        <f>C62/E62</f>
        <v>134297.05661154405</v>
      </c>
      <c r="O62" s="6">
        <v>154765.05485484516</v>
      </c>
      <c r="P62" s="47">
        <v>115560</v>
      </c>
      <c r="Q62" s="47">
        <v>1.2201313937118701</v>
      </c>
      <c r="R62" s="61">
        <v>0.28265307146814111</v>
      </c>
      <c r="S62" s="61">
        <v>0.41507370096139762</v>
      </c>
      <c r="T62" s="61">
        <v>63498.8605330426</v>
      </c>
      <c r="U62" s="47">
        <v>224653.00024238299</v>
      </c>
      <c r="V62" s="47">
        <v>152982.133982389</v>
      </c>
      <c r="W62" s="47">
        <v>1.2201313937118723</v>
      </c>
      <c r="X62" s="105">
        <f>O62/P62</f>
        <v>1.3392614646490582</v>
      </c>
      <c r="Y62" s="61">
        <f>O62/Q62</f>
        <v>126842.94138520659</v>
      </c>
    </row>
    <row r="63" spans="1:25" x14ac:dyDescent="0.2">
      <c r="A63" s="7" t="s">
        <v>180</v>
      </c>
      <c r="B63" s="7" t="s">
        <v>46</v>
      </c>
      <c r="C63" s="64"/>
      <c r="D63" s="64"/>
      <c r="E63" s="64"/>
      <c r="F63" s="64"/>
      <c r="G63" s="64"/>
      <c r="H63" s="64"/>
      <c r="I63" s="64"/>
      <c r="J63" s="64"/>
      <c r="K63" s="64"/>
      <c r="L63" s="96"/>
      <c r="M63" s="96"/>
      <c r="O63" s="64"/>
      <c r="P63" s="64"/>
      <c r="Q63" s="64"/>
      <c r="R63" s="64"/>
      <c r="S63" s="64"/>
      <c r="T63" s="64"/>
      <c r="U63" s="64"/>
      <c r="V63" s="64"/>
      <c r="W63" s="64"/>
      <c r="X63" s="96"/>
      <c r="Y63" s="96"/>
    </row>
    <row r="64" spans="1:25" x14ac:dyDescent="0.2">
      <c r="A64" s="7" t="s">
        <v>140</v>
      </c>
      <c r="B64" s="7" t="s">
        <v>47</v>
      </c>
      <c r="C64" s="6">
        <v>1260800.2103991229</v>
      </c>
      <c r="D64" s="47">
        <v>2879387.4</v>
      </c>
      <c r="E64" s="47">
        <v>268.70313339866499</v>
      </c>
      <c r="F64" s="61">
        <v>0.76667714485751204</v>
      </c>
      <c r="G64" s="61">
        <v>1.1900718648574129</v>
      </c>
      <c r="H64" s="61">
        <v>1415708.1522650199</v>
      </c>
      <c r="I64" s="47">
        <v>1846550.6135938501</v>
      </c>
      <c r="J64" s="47">
        <v>1189598.8755558401</v>
      </c>
      <c r="K64" s="47">
        <v>0</v>
      </c>
      <c r="L64" s="105">
        <f t="shared" ref="L64:L75" si="12">C64/D64</f>
        <v>0.43787098964145044</v>
      </c>
      <c r="M64" s="61">
        <f>C64/E64</f>
        <v>4692.1678748290587</v>
      </c>
      <c r="O64" s="6">
        <v>1213685.5822250193</v>
      </c>
      <c r="P64" s="47">
        <v>2614562.4</v>
      </c>
      <c r="Q64" s="47">
        <v>268.70313339866499</v>
      </c>
      <c r="R64" s="61">
        <v>0.55954764661154444</v>
      </c>
      <c r="S64" s="61">
        <v>0.8359236634420516</v>
      </c>
      <c r="T64" s="61">
        <v>957903.798302365</v>
      </c>
      <c r="U64" s="47">
        <v>1711925.3455950499</v>
      </c>
      <c r="V64" s="47">
        <v>1145922.5766597399</v>
      </c>
      <c r="W64" s="47">
        <v>0</v>
      </c>
      <c r="X64" s="105">
        <f t="shared" ref="X64:X75" si="13">O64/P64</f>
        <v>0.46420218627217286</v>
      </c>
      <c r="Y64" s="61">
        <f>O64/Q64</f>
        <v>4516.8270532384095</v>
      </c>
    </row>
    <row r="65" spans="1:25" x14ac:dyDescent="0.2">
      <c r="A65" s="7" t="s">
        <v>141</v>
      </c>
      <c r="B65" s="7" t="s">
        <v>48</v>
      </c>
      <c r="C65" s="6">
        <v>889349.6219281326</v>
      </c>
      <c r="D65" s="47">
        <v>1197256.5</v>
      </c>
      <c r="E65" s="47">
        <v>37.456534370319801</v>
      </c>
      <c r="F65" s="61">
        <v>0.39081035068894393</v>
      </c>
      <c r="G65" s="61">
        <v>0.7623526977279339</v>
      </c>
      <c r="H65" s="61">
        <v>665005.29528320103</v>
      </c>
      <c r="I65" s="47">
        <v>1701606.14761326</v>
      </c>
      <c r="J65" s="47">
        <v>872306.60725034401</v>
      </c>
      <c r="K65" s="47">
        <v>12.711835410381424</v>
      </c>
      <c r="L65" s="105">
        <f t="shared" si="12"/>
        <v>0.74282296394142155</v>
      </c>
      <c r="M65" s="61">
        <f>C65/E65</f>
        <v>23743.51062849116</v>
      </c>
      <c r="O65" s="6">
        <v>733449.57223730127</v>
      </c>
      <c r="P65" s="47">
        <v>324319.95</v>
      </c>
      <c r="Q65" s="47">
        <v>37.456534370319801</v>
      </c>
      <c r="R65" s="61">
        <v>0.10419327018158554</v>
      </c>
      <c r="S65" s="61">
        <v>0.1794790003975289</v>
      </c>
      <c r="T65" s="61">
        <v>130621.91334105399</v>
      </c>
      <c r="U65" s="47">
        <v>1253650.1936584699</v>
      </c>
      <c r="V65" s="47">
        <v>727783.82457969396</v>
      </c>
      <c r="W65" s="47">
        <v>12.711835410381424</v>
      </c>
      <c r="X65" s="105">
        <f t="shared" si="13"/>
        <v>2.2615000163798165</v>
      </c>
      <c r="Y65" s="61">
        <f>O65/Q65</f>
        <v>19581.35168048221</v>
      </c>
    </row>
    <row r="66" spans="1:25" x14ac:dyDescent="0.2">
      <c r="A66" s="7" t="s">
        <v>142</v>
      </c>
      <c r="B66" s="7" t="s">
        <v>49</v>
      </c>
      <c r="C66" s="6">
        <v>87039.351406278598</v>
      </c>
      <c r="D66" s="47">
        <v>12519</v>
      </c>
      <c r="E66" s="47">
        <v>3.7422906171796302</v>
      </c>
      <c r="F66" s="61">
        <v>7.5665595906228955E-2</v>
      </c>
      <c r="G66" s="61">
        <v>7.9138696098157754E-2</v>
      </c>
      <c r="H66" s="61">
        <v>6874.9563136909701</v>
      </c>
      <c r="I66" s="47">
        <v>90859.7392427991</v>
      </c>
      <c r="J66" s="47">
        <v>86872.246481844806</v>
      </c>
      <c r="K66" s="47">
        <v>0</v>
      </c>
      <c r="L66" s="105">
        <f t="shared" si="12"/>
        <v>6.9525801906125571</v>
      </c>
      <c r="M66" s="61">
        <f>C66/E66</f>
        <v>23258.308963689098</v>
      </c>
      <c r="O66" s="6">
        <v>84749.551406278595</v>
      </c>
      <c r="P66" s="47">
        <v>0</v>
      </c>
      <c r="Q66" s="47">
        <v>0</v>
      </c>
      <c r="R66" s="61">
        <v>0</v>
      </c>
      <c r="S66" s="61">
        <v>0</v>
      </c>
      <c r="T66" s="61">
        <v>0</v>
      </c>
      <c r="U66" s="47">
        <v>84749.551406278595</v>
      </c>
      <c r="V66" s="47">
        <v>84749.551406278595</v>
      </c>
      <c r="W66" s="47">
        <v>0</v>
      </c>
      <c r="X66" s="105" t="e">
        <f t="shared" si="13"/>
        <v>#DIV/0!</v>
      </c>
      <c r="Y66" s="61" t="e">
        <f>O66/Q66</f>
        <v>#DIV/0!</v>
      </c>
    </row>
    <row r="67" spans="1:25" x14ac:dyDescent="0.2">
      <c r="A67" s="7" t="s">
        <v>143</v>
      </c>
      <c r="B67" s="7" t="s">
        <v>50</v>
      </c>
      <c r="C67" s="6">
        <v>202114.58486777736</v>
      </c>
      <c r="D67" s="47">
        <v>110106</v>
      </c>
      <c r="E67" s="47">
        <v>0</v>
      </c>
      <c r="F67" s="61">
        <v>0.27578786315927273</v>
      </c>
      <c r="G67" s="61">
        <v>0.29034598067041462</v>
      </c>
      <c r="H67" s="61">
        <v>58359.126766235197</v>
      </c>
      <c r="I67" s="47">
        <v>211608.756446732</v>
      </c>
      <c r="J67" s="47">
        <v>200998.569470405</v>
      </c>
      <c r="K67" s="47">
        <v>0</v>
      </c>
      <c r="L67" s="105">
        <f t="shared" si="12"/>
        <v>1.835636430964501</v>
      </c>
      <c r="M67" s="61">
        <v>0</v>
      </c>
      <c r="O67" s="6">
        <v>186822.08486777736</v>
      </c>
      <c r="P67" s="47">
        <v>0</v>
      </c>
      <c r="Q67" s="47">
        <v>0</v>
      </c>
      <c r="R67" s="61">
        <v>0</v>
      </c>
      <c r="S67" s="61">
        <v>0</v>
      </c>
      <c r="T67" s="61">
        <v>0</v>
      </c>
      <c r="U67" s="47">
        <v>186822.08486777701</v>
      </c>
      <c r="V67" s="47">
        <v>186822.08486777701</v>
      </c>
      <c r="W67" s="47">
        <v>0</v>
      </c>
      <c r="X67" s="105" t="e">
        <f t="shared" si="13"/>
        <v>#DIV/0!</v>
      </c>
      <c r="Y67" s="61">
        <v>0</v>
      </c>
    </row>
    <row r="68" spans="1:25" x14ac:dyDescent="0.2">
      <c r="A68" s="7" t="s">
        <v>144</v>
      </c>
      <c r="B68" s="7" t="s">
        <v>51</v>
      </c>
      <c r="C68" s="6">
        <v>124489.53106189765</v>
      </c>
      <c r="D68" s="47">
        <v>16178.4</v>
      </c>
      <c r="E68" s="47">
        <v>0</v>
      </c>
      <c r="F68" s="61">
        <v>6.6280117103858768E-2</v>
      </c>
      <c r="G68" s="61">
        <v>6.9000411797493041E-2</v>
      </c>
      <c r="H68" s="61">
        <v>8574.9849824247503</v>
      </c>
      <c r="I68" s="47">
        <v>129374.922029604</v>
      </c>
      <c r="J68" s="47">
        <v>124274.40299329199</v>
      </c>
      <c r="K68" s="47">
        <v>0</v>
      </c>
      <c r="L68" s="105">
        <f t="shared" si="12"/>
        <v>7.6947986860194861</v>
      </c>
      <c r="M68" s="61">
        <v>0</v>
      </c>
      <c r="O68" s="6">
        <v>121541.68106189765</v>
      </c>
      <c r="P68" s="47">
        <v>0</v>
      </c>
      <c r="Q68" s="47">
        <v>0</v>
      </c>
      <c r="R68" s="61">
        <v>0</v>
      </c>
      <c r="S68" s="61">
        <v>0</v>
      </c>
      <c r="T68" s="61">
        <v>0</v>
      </c>
      <c r="U68" s="47">
        <v>121541.681061896</v>
      </c>
      <c r="V68" s="47">
        <v>121541.681061896</v>
      </c>
      <c r="W68" s="47">
        <v>0</v>
      </c>
      <c r="X68" s="105" t="e">
        <f t="shared" si="13"/>
        <v>#DIV/0!</v>
      </c>
      <c r="Y68" s="61">
        <v>0</v>
      </c>
    </row>
    <row r="69" spans="1:25" x14ac:dyDescent="0.2">
      <c r="A69" s="7" t="s">
        <v>145</v>
      </c>
      <c r="B69" s="7" t="s">
        <v>52</v>
      </c>
      <c r="C69" s="6">
        <v>2175008.4751747278</v>
      </c>
      <c r="D69" s="47">
        <v>5054661.5</v>
      </c>
      <c r="E69" s="47">
        <v>341.44600000000003</v>
      </c>
      <c r="F69" s="61">
        <v>0.77843161721434606</v>
      </c>
      <c r="G69" s="61">
        <v>1.3485968351878272</v>
      </c>
      <c r="H69" s="61">
        <v>2760001.5826510801</v>
      </c>
      <c r="I69" s="47">
        <v>3545592.8582755602</v>
      </c>
      <c r="J69" s="47">
        <v>2046572.78634847</v>
      </c>
      <c r="K69" s="47">
        <v>0</v>
      </c>
      <c r="L69" s="105">
        <f t="shared" si="12"/>
        <v>0.43029755309524242</v>
      </c>
      <c r="M69" s="61">
        <v>0</v>
      </c>
      <c r="O69" s="6">
        <v>1923559.3504361613</v>
      </c>
      <c r="P69" s="47">
        <v>3644271.5</v>
      </c>
      <c r="Q69" s="47">
        <v>341.44600000000003</v>
      </c>
      <c r="R69" s="61">
        <v>0.56214223775763705</v>
      </c>
      <c r="S69" s="61">
        <v>0.85737762231474679</v>
      </c>
      <c r="T69" s="61">
        <v>1554831.9446765799</v>
      </c>
      <c r="U69" s="47">
        <v>2765904.8551105899</v>
      </c>
      <c r="V69" s="47">
        <v>1813473.90485752</v>
      </c>
      <c r="W69" s="47">
        <v>0</v>
      </c>
      <c r="X69" s="105">
        <f t="shared" si="13"/>
        <v>0.5278309671593242</v>
      </c>
      <c r="Y69" s="61">
        <v>0</v>
      </c>
    </row>
    <row r="70" spans="1:25" x14ac:dyDescent="0.2">
      <c r="A70" s="7" t="s">
        <v>146</v>
      </c>
      <c r="B70" s="7" t="s">
        <v>53</v>
      </c>
      <c r="C70" s="6">
        <v>802063.78468775935</v>
      </c>
      <c r="D70" s="47">
        <v>1707002.6089999999</v>
      </c>
      <c r="E70" s="47">
        <v>138.05385824939901</v>
      </c>
      <c r="F70" s="61">
        <v>0.66414780358477343</v>
      </c>
      <c r="G70" s="61">
        <v>1.12901639878219</v>
      </c>
      <c r="H70" s="61">
        <v>858413.41772829799</v>
      </c>
      <c r="I70" s="47">
        <v>1292503.5859412099</v>
      </c>
      <c r="J70" s="47">
        <v>760319.70718425605</v>
      </c>
      <c r="K70" s="47">
        <v>0</v>
      </c>
      <c r="L70" s="105">
        <f t="shared" si="12"/>
        <v>0.4698667596985257</v>
      </c>
      <c r="M70" s="61">
        <f>C70/E70</f>
        <v>5809.7889827809358</v>
      </c>
      <c r="O70" s="6">
        <v>763805.58204896294</v>
      </c>
      <c r="P70" s="47">
        <v>1533940.7</v>
      </c>
      <c r="Q70" s="47">
        <v>138.05385824939901</v>
      </c>
      <c r="R70" s="61">
        <v>0.52070417221555165</v>
      </c>
      <c r="S70" s="61">
        <v>0.81040438470401677</v>
      </c>
      <c r="T70" s="61">
        <v>587424.46276187606</v>
      </c>
      <c r="U70" s="47">
        <v>1128134.7338978201</v>
      </c>
      <c r="V70" s="47">
        <v>724853.50998738804</v>
      </c>
      <c r="W70" s="47">
        <v>0</v>
      </c>
      <c r="X70" s="105">
        <f t="shared" si="13"/>
        <v>0.49793683813785172</v>
      </c>
      <c r="Y70" s="61">
        <f>O70/Q70</f>
        <v>5532.6637859633165</v>
      </c>
    </row>
    <row r="71" spans="1:25" x14ac:dyDescent="0.2">
      <c r="A71" s="7" t="s">
        <v>147</v>
      </c>
      <c r="B71" s="7" t="s">
        <v>54</v>
      </c>
      <c r="C71" s="6">
        <v>424150.00471853721</v>
      </c>
      <c r="D71" s="47">
        <v>253152.62100000001</v>
      </c>
      <c r="E71" s="47">
        <v>3.9128395980647599</v>
      </c>
      <c r="F71" s="61">
        <v>0.3026191622316895</v>
      </c>
      <c r="G71" s="61">
        <v>0.34382846632272246</v>
      </c>
      <c r="H71" s="61">
        <v>144576.16571178861</v>
      </c>
      <c r="I71" s="47">
        <v>477749.54053008399</v>
      </c>
      <c r="J71" s="47">
        <v>420489.22609010298</v>
      </c>
      <c r="K71" s="47">
        <v>0</v>
      </c>
      <c r="L71" s="105">
        <f t="shared" si="12"/>
        <v>1.67547151217738</v>
      </c>
      <c r="M71" s="61">
        <f>C71/E71</f>
        <v>108399.53800516544</v>
      </c>
      <c r="O71" s="6">
        <v>381115.20471853722</v>
      </c>
      <c r="P71" s="47">
        <v>17820</v>
      </c>
      <c r="Q71" s="47">
        <v>3.9128395980647599</v>
      </c>
      <c r="R71" s="61">
        <v>3.315021958359584E-2</v>
      </c>
      <c r="S71" s="61">
        <v>3.3095862330280924E-2</v>
      </c>
      <c r="T71" s="61">
        <v>12596.12031421296</v>
      </c>
      <c r="U71" s="47">
        <v>379970.946570926</v>
      </c>
      <c r="V71" s="47">
        <v>380595.01784572599</v>
      </c>
      <c r="W71" s="47">
        <v>0</v>
      </c>
      <c r="X71" s="105">
        <f t="shared" si="13"/>
        <v>21.386936291724872</v>
      </c>
      <c r="Y71" s="61">
        <f>O71/Q71</f>
        <v>97401.182738753691</v>
      </c>
    </row>
    <row r="72" spans="1:25" x14ac:dyDescent="0.2">
      <c r="A72" s="7" t="s">
        <v>148</v>
      </c>
      <c r="B72" s="7" t="s">
        <v>55</v>
      </c>
      <c r="C72" s="6">
        <v>724947.74903215852</v>
      </c>
      <c r="D72" s="47">
        <v>913640.76</v>
      </c>
      <c r="E72" s="47">
        <v>19.779763143875702</v>
      </c>
      <c r="F72" s="61">
        <v>0.48187774155628932</v>
      </c>
      <c r="G72" s="61">
        <v>0.68306284615523971</v>
      </c>
      <c r="H72" s="61">
        <v>486507.50687820499</v>
      </c>
      <c r="I72" s="47">
        <v>1009607.7592357</v>
      </c>
      <c r="J72" s="47">
        <v>712244.13627034903</v>
      </c>
      <c r="K72" s="47">
        <v>0</v>
      </c>
      <c r="L72" s="105">
        <f t="shared" si="12"/>
        <v>0.79347133005773351</v>
      </c>
      <c r="M72" s="61">
        <f>C72/E72</f>
        <v>36650.98230747116</v>
      </c>
      <c r="O72" s="6">
        <v>577829.60070933518</v>
      </c>
      <c r="P72" s="47">
        <v>86196.96</v>
      </c>
      <c r="Q72" s="47">
        <v>19.779763143875702</v>
      </c>
      <c r="R72" s="61">
        <v>4.7049682363563605E-2</v>
      </c>
      <c r="S72" s="61">
        <v>4.7839567069025223E-2</v>
      </c>
      <c r="T72" s="61">
        <v>27549.006460329601</v>
      </c>
      <c r="U72" s="47">
        <v>585530.12637688301</v>
      </c>
      <c r="V72" s="47">
        <v>575862.36975306598</v>
      </c>
      <c r="W72" s="47">
        <v>0</v>
      </c>
      <c r="X72" s="105">
        <f t="shared" si="13"/>
        <v>6.7035960515235704</v>
      </c>
      <c r="Y72" s="61">
        <f>O72/Q72</f>
        <v>29213.17088108031</v>
      </c>
    </row>
    <row r="73" spans="1:25" x14ac:dyDescent="0.2">
      <c r="A73" s="7" t="s">
        <v>149</v>
      </c>
      <c r="B73" s="7" t="s">
        <v>56</v>
      </c>
      <c r="C73" s="6">
        <v>246603.48593411699</v>
      </c>
      <c r="D73" s="47">
        <v>317790</v>
      </c>
      <c r="E73" s="47">
        <v>0</v>
      </c>
      <c r="F73" s="61">
        <v>0.45575497630559109</v>
      </c>
      <c r="G73" s="61">
        <v>0.789342461560534</v>
      </c>
      <c r="H73" s="61">
        <v>192012.276446217</v>
      </c>
      <c r="I73" s="47">
        <v>421305.93505021802</v>
      </c>
      <c r="J73" s="47">
        <v>243255.983045189</v>
      </c>
      <c r="K73" s="47">
        <v>0</v>
      </c>
      <c r="L73" s="105">
        <f t="shared" si="12"/>
        <v>0.77599510977097141</v>
      </c>
      <c r="M73" s="61">
        <v>0</v>
      </c>
      <c r="O73" s="6">
        <v>217178.48593411699</v>
      </c>
      <c r="P73" s="47">
        <v>77040</v>
      </c>
      <c r="Q73" s="47">
        <v>0</v>
      </c>
      <c r="R73" s="61">
        <v>0.16080142522139759</v>
      </c>
      <c r="S73" s="61">
        <v>0.19519938678103863</v>
      </c>
      <c r="T73" s="61">
        <v>42158.843314919199</v>
      </c>
      <c r="U73" s="47">
        <v>262179.53763079701</v>
      </c>
      <c r="V73" s="47">
        <v>215978.359410576</v>
      </c>
      <c r="W73" s="47">
        <v>0</v>
      </c>
      <c r="X73" s="105">
        <f t="shared" si="13"/>
        <v>2.8190353833608124</v>
      </c>
      <c r="Y73" s="61">
        <v>0</v>
      </c>
    </row>
    <row r="74" spans="1:25" x14ac:dyDescent="0.2">
      <c r="A74" s="7" t="s">
        <v>150</v>
      </c>
      <c r="B74" s="7" t="s">
        <v>57</v>
      </c>
      <c r="C74" s="6">
        <v>433607.03951370768</v>
      </c>
      <c r="D74" s="47">
        <v>252787.5</v>
      </c>
      <c r="E74" s="47">
        <v>8.2448630136986303</v>
      </c>
      <c r="F74" s="61">
        <v>0.2821882486050033</v>
      </c>
      <c r="G74" s="61">
        <v>0.37934452692835702</v>
      </c>
      <c r="H74" s="61">
        <v>163113.72120579801</v>
      </c>
      <c r="I74" s="47">
        <v>578031.58711303596</v>
      </c>
      <c r="J74" s="47">
        <v>429988.33415778697</v>
      </c>
      <c r="K74" s="47">
        <v>0</v>
      </c>
      <c r="L74" s="105">
        <f t="shared" si="12"/>
        <v>1.7153025347919011</v>
      </c>
      <c r="M74" s="61">
        <f>C74/E74</f>
        <v>52591.175716719685</v>
      </c>
      <c r="O74" s="6">
        <v>426785.78951370768</v>
      </c>
      <c r="P74" s="47">
        <v>216675</v>
      </c>
      <c r="Q74" s="47">
        <v>8.2448630136986303</v>
      </c>
      <c r="R74" s="61">
        <v>0.1802746179725232</v>
      </c>
      <c r="S74" s="61">
        <v>0.21813561044326796</v>
      </c>
      <c r="T74" s="61">
        <v>92416.398322120498</v>
      </c>
      <c r="U74" s="47">
        <v>512642.31959823798</v>
      </c>
      <c r="V74" s="47">
        <v>423664.88504248997</v>
      </c>
      <c r="W74" s="47">
        <v>0</v>
      </c>
      <c r="X74" s="105">
        <f t="shared" si="13"/>
        <v>1.9697048091090696</v>
      </c>
      <c r="Y74" s="61">
        <f>O74/Q74</f>
        <v>51763.842383386349</v>
      </c>
    </row>
    <row r="75" spans="1:25" x14ac:dyDescent="0.2">
      <c r="A75" s="7" t="s">
        <v>151</v>
      </c>
      <c r="B75" s="7" t="s">
        <v>58</v>
      </c>
      <c r="C75" s="6">
        <v>206118.79449251326</v>
      </c>
      <c r="D75" s="47">
        <v>173547.9</v>
      </c>
      <c r="E75" s="47">
        <v>46.779734694800602</v>
      </c>
      <c r="F75" s="61">
        <v>0.22284906676675689</v>
      </c>
      <c r="G75" s="61">
        <v>0.25587426825950305</v>
      </c>
      <c r="H75" s="61">
        <v>52208.622262435252</v>
      </c>
      <c r="I75" s="47">
        <v>234277.94883735801</v>
      </c>
      <c r="J75" s="47">
        <v>204040.14290911899</v>
      </c>
      <c r="K75" s="47">
        <v>0</v>
      </c>
      <c r="L75" s="105">
        <f t="shared" si="12"/>
        <v>1.187676684607035</v>
      </c>
      <c r="M75" s="61">
        <f>C75/E75</f>
        <v>4406.1556962062596</v>
      </c>
      <c r="O75" s="6">
        <v>206118.79449251326</v>
      </c>
      <c r="P75" s="47">
        <v>173547.9</v>
      </c>
      <c r="Q75" s="47">
        <v>46.779734694800602</v>
      </c>
      <c r="R75" s="61">
        <v>0.12453001399907673</v>
      </c>
      <c r="S75" s="61">
        <v>0.14298478638777359</v>
      </c>
      <c r="T75" s="61">
        <v>29174.636248391176</v>
      </c>
      <c r="U75" s="47">
        <v>234277.94883735801</v>
      </c>
      <c r="V75" s="47">
        <v>204040.14290911899</v>
      </c>
      <c r="W75" s="47">
        <v>0</v>
      </c>
      <c r="X75" s="105">
        <f t="shared" si="13"/>
        <v>1.187676684607035</v>
      </c>
      <c r="Y75" s="61">
        <f>O75/Q75</f>
        <v>4406.1556962062596</v>
      </c>
    </row>
    <row r="76" spans="1:25" x14ac:dyDescent="0.2">
      <c r="A76" s="7"/>
      <c r="B76" s="7" t="s">
        <v>59</v>
      </c>
      <c r="C76" s="63"/>
      <c r="D76" s="64"/>
      <c r="E76" s="64"/>
      <c r="F76" s="65"/>
      <c r="G76" s="87"/>
      <c r="H76" s="87"/>
      <c r="I76" s="64"/>
      <c r="J76" s="64"/>
      <c r="K76" s="64"/>
      <c r="L76" s="96"/>
      <c r="M76" s="96"/>
      <c r="O76" s="63"/>
      <c r="P76" s="64"/>
      <c r="Q76" s="64"/>
      <c r="R76" s="65"/>
      <c r="S76" s="87"/>
      <c r="T76" s="87"/>
      <c r="U76" s="64"/>
      <c r="V76" s="64"/>
      <c r="W76" s="64"/>
      <c r="X76" s="96"/>
      <c r="Y76" s="96"/>
    </row>
    <row r="77" spans="1:25" x14ac:dyDescent="0.2">
      <c r="A77" s="7" t="s">
        <v>152</v>
      </c>
      <c r="B77" s="7" t="s">
        <v>60</v>
      </c>
      <c r="C77" s="6">
        <v>172191.38991406345</v>
      </c>
      <c r="D77" s="47">
        <v>278705.7</v>
      </c>
      <c r="E77" s="47">
        <v>2.2700117255082</v>
      </c>
      <c r="F77" s="61">
        <v>0.3765556113526688</v>
      </c>
      <c r="G77" s="61">
        <v>0.87908385834911451</v>
      </c>
      <c r="H77" s="61">
        <v>147636.51895725401</v>
      </c>
      <c r="I77" s="47">
        <v>392070.95713409199</v>
      </c>
      <c r="J77" s="47">
        <v>167943.61260882401</v>
      </c>
      <c r="K77" s="47">
        <v>2.2700117255082</v>
      </c>
      <c r="L77" s="105">
        <f t="shared" ref="L77:L88" si="14">C77/D77</f>
        <v>0.61782514643246778</v>
      </c>
      <c r="M77" s="61">
        <f t="shared" ref="M77:M86" si="15">C77/E77</f>
        <v>75854.846025305887</v>
      </c>
      <c r="O77" s="6">
        <v>152488.90904125647</v>
      </c>
      <c r="P77" s="47">
        <v>167960.7</v>
      </c>
      <c r="Q77" s="47">
        <v>2.2700117255082</v>
      </c>
      <c r="R77" s="61">
        <v>0.18347594676934537</v>
      </c>
      <c r="S77" s="61">
        <v>0.41158946495461474</v>
      </c>
      <c r="T77" s="61">
        <v>61606.290686057197</v>
      </c>
      <c r="U77" s="47">
        <v>335773.11778913898</v>
      </c>
      <c r="V77" s="47">
        <v>149678.97852499801</v>
      </c>
      <c r="W77" s="47">
        <v>2.2700117255082</v>
      </c>
      <c r="X77" s="105">
        <f t="shared" ref="X77:X88" si="16">O77/P77</f>
        <v>0.907884457740748</v>
      </c>
      <c r="Y77" s="61">
        <f t="shared" ref="Y77:Y86" si="17">O77/Q77</f>
        <v>67175.38386596569</v>
      </c>
    </row>
    <row r="78" spans="1:25" x14ac:dyDescent="0.2">
      <c r="A78" s="7" t="s">
        <v>153</v>
      </c>
      <c r="B78" s="7" t="s">
        <v>61</v>
      </c>
      <c r="C78" s="6">
        <v>2462104.6480701216</v>
      </c>
      <c r="D78" s="47">
        <v>3831333.3</v>
      </c>
      <c r="E78" s="47">
        <v>790.79053196291204</v>
      </c>
      <c r="F78" s="61">
        <v>0.95730300160986115</v>
      </c>
      <c r="G78" s="61">
        <v>1.2472363333173011</v>
      </c>
      <c r="H78" s="61">
        <v>2965705.5919371275</v>
      </c>
      <c r="I78" s="47">
        <v>3097980.0407496998</v>
      </c>
      <c r="J78" s="47">
        <v>2377821.67879056</v>
      </c>
      <c r="K78" s="47">
        <v>0</v>
      </c>
      <c r="L78" s="105">
        <f t="shared" si="14"/>
        <v>0.64262345645316787</v>
      </c>
      <c r="M78" s="61">
        <f t="shared" si="15"/>
        <v>3113.4725929996262</v>
      </c>
      <c r="O78" s="6">
        <v>2209939.7680701218</v>
      </c>
      <c r="P78" s="47">
        <v>2885715</v>
      </c>
      <c r="Q78" s="47">
        <v>790.79053196291204</v>
      </c>
      <c r="R78" s="61">
        <v>0.62516962821505828</v>
      </c>
      <c r="S78" s="61">
        <v>0.73574416604236215</v>
      </c>
      <c r="T78" s="61">
        <v>1577479.104256188</v>
      </c>
      <c r="U78" s="47">
        <v>2523281.73516698</v>
      </c>
      <c r="V78" s="47">
        <v>2144059.2763943998</v>
      </c>
      <c r="W78" s="47">
        <v>0</v>
      </c>
      <c r="X78" s="105">
        <f t="shared" si="16"/>
        <v>0.76582052214793273</v>
      </c>
      <c r="Y78" s="61">
        <f t="shared" si="17"/>
        <v>2794.5956340480916</v>
      </c>
    </row>
    <row r="79" spans="1:25" x14ac:dyDescent="0.2">
      <c r="A79" s="7" t="s">
        <v>154</v>
      </c>
      <c r="B79" s="7" t="s">
        <v>62</v>
      </c>
      <c r="C79" s="6">
        <v>1052307.465547984</v>
      </c>
      <c r="D79" s="47">
        <v>2409031.7999999998</v>
      </c>
      <c r="E79" s="47">
        <v>34.873739999999998</v>
      </c>
      <c r="F79" s="61">
        <v>1.000281964338974</v>
      </c>
      <c r="G79" s="61">
        <v>1.4893635046005171</v>
      </c>
      <c r="H79" s="61">
        <v>1501427.13609703</v>
      </c>
      <c r="I79" s="47">
        <v>1501003.9065227299</v>
      </c>
      <c r="J79" s="47">
        <v>1008099.85705924</v>
      </c>
      <c r="K79" s="47">
        <v>0</v>
      </c>
      <c r="L79" s="105">
        <f t="shared" si="14"/>
        <v>0.436817590182074</v>
      </c>
      <c r="M79" s="61">
        <f t="shared" si="15"/>
        <v>30174.780954035446</v>
      </c>
      <c r="O79" s="6">
        <v>616446.585547984</v>
      </c>
      <c r="P79" s="47">
        <v>774553.5</v>
      </c>
      <c r="Q79" s="47">
        <v>34.873739999999998</v>
      </c>
      <c r="R79" s="61">
        <v>0.55461005168126554</v>
      </c>
      <c r="S79" s="61">
        <v>0.68929877843307774</v>
      </c>
      <c r="T79" s="61">
        <v>416369.00626525801</v>
      </c>
      <c r="U79" s="47">
        <v>750741.90415961901</v>
      </c>
      <c r="V79" s="47">
        <v>604047.21333142801</v>
      </c>
      <c r="W79" s="47">
        <v>0</v>
      </c>
      <c r="X79" s="105">
        <f t="shared" si="16"/>
        <v>0.79587347490907212</v>
      </c>
      <c r="Y79" s="61">
        <f t="shared" si="17"/>
        <v>17676.526393440567</v>
      </c>
    </row>
    <row r="80" spans="1:25" x14ac:dyDescent="0.2">
      <c r="A80" s="7" t="s">
        <v>155</v>
      </c>
      <c r="B80" s="7" t="s">
        <v>63</v>
      </c>
      <c r="C80" s="6">
        <v>653643.22218940244</v>
      </c>
      <c r="D80" s="47">
        <v>1127858.401361</v>
      </c>
      <c r="E80" s="47">
        <v>414.20412314285699</v>
      </c>
      <c r="F80" s="61">
        <v>0.73363616068760973</v>
      </c>
      <c r="G80" s="61">
        <v>0.96395737721016095</v>
      </c>
      <c r="H80" s="61">
        <v>615112.61043491506</v>
      </c>
      <c r="I80" s="47">
        <v>838443.691023072</v>
      </c>
      <c r="J80" s="47">
        <v>638111.83458665397</v>
      </c>
      <c r="K80" s="47">
        <v>0</v>
      </c>
      <c r="L80" s="105">
        <f t="shared" si="14"/>
        <v>0.57954369218746205</v>
      </c>
      <c r="M80" s="61">
        <f t="shared" si="15"/>
        <v>1578.070293530043</v>
      </c>
      <c r="O80" s="6">
        <v>541293.22218940244</v>
      </c>
      <c r="P80" s="47">
        <v>453758.40136100003</v>
      </c>
      <c r="Q80" s="47">
        <v>414.20412314285699</v>
      </c>
      <c r="R80" s="61">
        <v>0.26070733520287476</v>
      </c>
      <c r="S80" s="61">
        <v>0.27330869156261045</v>
      </c>
      <c r="T80" s="61">
        <v>145936.15710608099</v>
      </c>
      <c r="U80" s="47">
        <v>559770.04633382405</v>
      </c>
      <c r="V80" s="47">
        <v>533960.90798177</v>
      </c>
      <c r="W80" s="47">
        <v>0</v>
      </c>
      <c r="X80" s="105">
        <f t="shared" si="16"/>
        <v>1.1929106338656232</v>
      </c>
      <c r="Y80" s="61">
        <f t="shared" si="17"/>
        <v>1306.827218624072</v>
      </c>
    </row>
    <row r="81" spans="1:25" x14ac:dyDescent="0.2">
      <c r="A81" s="7" t="s">
        <v>156</v>
      </c>
      <c r="B81" s="7" t="s">
        <v>64</v>
      </c>
      <c r="C81" s="6">
        <v>146347.31040901237</v>
      </c>
      <c r="D81" s="47">
        <v>60373</v>
      </c>
      <c r="E81" s="47">
        <v>2.1320000000000001</v>
      </c>
      <c r="F81" s="61">
        <v>0.2023478100826186</v>
      </c>
      <c r="G81" s="61">
        <v>0.22072279281082138</v>
      </c>
      <c r="H81" s="61">
        <v>32111.662852292</v>
      </c>
      <c r="I81" s="47">
        <v>158695.38118144599</v>
      </c>
      <c r="J81" s="47">
        <v>145484.12714138901</v>
      </c>
      <c r="K81" s="47">
        <v>0</v>
      </c>
      <c r="L81" s="105">
        <f t="shared" si="14"/>
        <v>2.4240523149257509</v>
      </c>
      <c r="M81" s="61">
        <f t="shared" si="15"/>
        <v>68643.203756572402</v>
      </c>
      <c r="O81" s="6">
        <v>139927.31040901237</v>
      </c>
      <c r="P81" s="47">
        <v>21853</v>
      </c>
      <c r="Q81" s="47">
        <v>2.1320000000000001</v>
      </c>
      <c r="R81" s="61">
        <v>6.4429794352624178E-2</v>
      </c>
      <c r="S81" s="61">
        <v>6.5882701616506195E-2</v>
      </c>
      <c r="T81" s="61">
        <v>9192.78765721729</v>
      </c>
      <c r="U81" s="47">
        <v>142679.14013360301</v>
      </c>
      <c r="V81" s="47">
        <v>139532.64562110999</v>
      </c>
      <c r="W81" s="47">
        <v>0</v>
      </c>
      <c r="X81" s="105">
        <f t="shared" si="16"/>
        <v>6.4031167532609876</v>
      </c>
      <c r="Y81" s="61">
        <f t="shared" si="17"/>
        <v>65631.946720925116</v>
      </c>
    </row>
    <row r="82" spans="1:25" x14ac:dyDescent="0.2">
      <c r="A82" s="7" t="s">
        <v>157</v>
      </c>
      <c r="B82" s="7" t="s">
        <v>65</v>
      </c>
      <c r="C82" s="6">
        <v>351586.6626468933</v>
      </c>
      <c r="D82" s="47">
        <v>237719.84578599999</v>
      </c>
      <c r="E82" s="47">
        <v>64.677098999999998</v>
      </c>
      <c r="F82" s="61">
        <v>0.75893581876025784</v>
      </c>
      <c r="G82" s="61">
        <v>0.77243000125494632</v>
      </c>
      <c r="H82" s="61">
        <v>267510.92707865598</v>
      </c>
      <c r="I82" s="47">
        <v>352481.62027145101</v>
      </c>
      <c r="J82" s="47">
        <v>346323.84377100598</v>
      </c>
      <c r="K82" s="47">
        <v>0</v>
      </c>
      <c r="L82" s="105">
        <f t="shared" si="14"/>
        <v>1.4789958385022612</v>
      </c>
      <c r="M82" s="61">
        <f t="shared" si="15"/>
        <v>5436.0301881643345</v>
      </c>
      <c r="O82" s="6">
        <v>350463.1626468933</v>
      </c>
      <c r="P82" s="47">
        <v>230978.84578599999</v>
      </c>
      <c r="Q82" s="47">
        <v>64.677098999999998</v>
      </c>
      <c r="R82" s="61">
        <v>0.50235583836792086</v>
      </c>
      <c r="S82" s="61">
        <v>0.50877571477418571</v>
      </c>
      <c r="T82" s="61">
        <v>175671.26653665901</v>
      </c>
      <c r="U82" s="47">
        <v>349694.88382455899</v>
      </c>
      <c r="V82" s="47">
        <v>345282.33450495702</v>
      </c>
      <c r="W82" s="47">
        <v>0</v>
      </c>
      <c r="X82" s="105">
        <f t="shared" si="16"/>
        <v>1.5172954971451997</v>
      </c>
      <c r="Y82" s="61">
        <f t="shared" si="17"/>
        <v>5418.6592791815428</v>
      </c>
    </row>
    <row r="83" spans="1:25" x14ac:dyDescent="0.2">
      <c r="A83" s="7" t="s">
        <v>158</v>
      </c>
      <c r="B83" s="7" t="s">
        <v>66</v>
      </c>
      <c r="C83" s="6">
        <v>668058.41338179843</v>
      </c>
      <c r="D83" s="47">
        <v>970039.97615999996</v>
      </c>
      <c r="E83" s="47">
        <v>175.22158703939999</v>
      </c>
      <c r="F83" s="61">
        <v>0.71560418181846264</v>
      </c>
      <c r="G83" s="61">
        <v>0.86415306241203393</v>
      </c>
      <c r="H83" s="61">
        <v>563877.83375901706</v>
      </c>
      <c r="I83" s="47">
        <v>787974.48098488594</v>
      </c>
      <c r="J83" s="47">
        <v>652520.78397444403</v>
      </c>
      <c r="K83" s="47">
        <v>0</v>
      </c>
      <c r="L83" s="105">
        <f t="shared" si="14"/>
        <v>0.68869163106697351</v>
      </c>
      <c r="M83" s="61">
        <f t="shared" si="15"/>
        <v>3812.6490272661445</v>
      </c>
      <c r="O83" s="6">
        <v>645953.06338179833</v>
      </c>
      <c r="P83" s="47">
        <v>837407.87615999999</v>
      </c>
      <c r="Q83" s="47">
        <v>175.22158703939999</v>
      </c>
      <c r="R83" s="61">
        <v>0.4749237045599895</v>
      </c>
      <c r="S83" s="61">
        <v>0.54740980735601819</v>
      </c>
      <c r="T83" s="61">
        <v>345978.67455595802</v>
      </c>
      <c r="U83" s="47">
        <v>728493.16897437803</v>
      </c>
      <c r="V83" s="47">
        <v>632028.637241686</v>
      </c>
      <c r="W83" s="47">
        <v>0</v>
      </c>
      <c r="X83" s="105">
        <f t="shared" si="16"/>
        <v>0.771372089720325</v>
      </c>
      <c r="Y83" s="61">
        <f t="shared" si="17"/>
        <v>3686.4924824391105</v>
      </c>
    </row>
    <row r="84" spans="1:25" x14ac:dyDescent="0.2">
      <c r="A84" s="7" t="s">
        <v>159</v>
      </c>
      <c r="B84" s="7" t="s">
        <v>200</v>
      </c>
      <c r="C84" s="6">
        <v>2464441.0465844646</v>
      </c>
      <c r="D84" s="47">
        <v>4025880</v>
      </c>
      <c r="E84" s="47">
        <v>466.75363292512498</v>
      </c>
      <c r="F84" s="61">
        <v>1.0243455324257404</v>
      </c>
      <c r="G84" s="61">
        <v>1.4862199316505917</v>
      </c>
      <c r="H84" s="61">
        <v>3539609.4877245701</v>
      </c>
      <c r="I84" s="47">
        <v>3455483.8925713501</v>
      </c>
      <c r="J84" s="47">
        <v>2381618.9060211899</v>
      </c>
      <c r="K84" s="47">
        <v>204.17690488168523</v>
      </c>
      <c r="L84" s="105">
        <f t="shared" si="14"/>
        <v>0.61214965338869132</v>
      </c>
      <c r="M84" s="61">
        <f t="shared" si="15"/>
        <v>5279.9611459688449</v>
      </c>
      <c r="O84" s="6">
        <v>2323201.0465844646</v>
      </c>
      <c r="P84" s="47">
        <v>3496230</v>
      </c>
      <c r="Q84" s="47">
        <v>459.95761360303601</v>
      </c>
      <c r="R84" s="61">
        <v>0.71131614062008708</v>
      </c>
      <c r="S84" s="61">
        <v>0.99207350420930984</v>
      </c>
      <c r="T84" s="61">
        <v>2232846.25699226</v>
      </c>
      <c r="U84" s="47">
        <v>3139034.9937030599</v>
      </c>
      <c r="V84" s="47">
        <v>2250686.3125750502</v>
      </c>
      <c r="W84" s="47">
        <v>204.17690488168523</v>
      </c>
      <c r="X84" s="105">
        <f t="shared" si="16"/>
        <v>0.66448747553349308</v>
      </c>
      <c r="Y84" s="61">
        <f t="shared" si="17"/>
        <v>5050.9024698729982</v>
      </c>
    </row>
    <row r="85" spans="1:25" x14ac:dyDescent="0.2">
      <c r="A85" s="7" t="s">
        <v>183</v>
      </c>
      <c r="B85" s="7" t="s">
        <v>201</v>
      </c>
      <c r="C85" s="6">
        <v>158120.56664786965</v>
      </c>
      <c r="D85" s="47">
        <v>529727.25378599996</v>
      </c>
      <c r="E85" s="47">
        <v>101.144481704588</v>
      </c>
      <c r="F85" s="61">
        <v>2.4301032898310195</v>
      </c>
      <c r="G85" s="61">
        <v>2.8844343761005664</v>
      </c>
      <c r="H85" s="61">
        <v>433356.5862338703</v>
      </c>
      <c r="I85" s="47">
        <v>178328.463669544</v>
      </c>
      <c r="J85" s="47">
        <v>150239.71071226799</v>
      </c>
      <c r="K85" s="47">
        <v>4.4287672114862824</v>
      </c>
      <c r="L85" s="105">
        <f t="shared" si="14"/>
        <v>0.29849430158212598</v>
      </c>
      <c r="M85" s="61">
        <f t="shared" si="15"/>
        <v>1563.3138257576059</v>
      </c>
      <c r="O85" s="6">
        <v>151572.16664786966</v>
      </c>
      <c r="P85" s="47">
        <v>495059.25378600002</v>
      </c>
      <c r="Q85" s="47">
        <v>101.144481704588</v>
      </c>
      <c r="R85" s="61">
        <v>1.6575235822205103</v>
      </c>
      <c r="S85" s="61">
        <v>1.9206435545351082</v>
      </c>
      <c r="T85" s="61">
        <v>276897.64390044013</v>
      </c>
      <c r="U85" s="47">
        <v>167055.02526214</v>
      </c>
      <c r="V85" s="47">
        <v>144169.19956158299</v>
      </c>
      <c r="W85" s="47">
        <v>4.4287672114862824</v>
      </c>
      <c r="X85" s="105">
        <f t="shared" si="16"/>
        <v>0.30616974733571989</v>
      </c>
      <c r="Y85" s="61">
        <f t="shared" si="17"/>
        <v>1498.5707978668124</v>
      </c>
    </row>
    <row r="86" spans="1:25" x14ac:dyDescent="0.2">
      <c r="A86" s="7" t="s">
        <v>184</v>
      </c>
      <c r="B86" s="7" t="s">
        <v>67</v>
      </c>
      <c r="C86" s="6">
        <v>123915.39034836867</v>
      </c>
      <c r="D86" s="47">
        <v>319377.69</v>
      </c>
      <c r="E86" s="47">
        <v>23.445923024752499</v>
      </c>
      <c r="F86" s="61">
        <v>1.3222616850201299</v>
      </c>
      <c r="G86" s="61">
        <v>1.8035144246833932</v>
      </c>
      <c r="H86" s="61">
        <v>215497.87782675194</v>
      </c>
      <c r="I86" s="47">
        <v>162976.72409941399</v>
      </c>
      <c r="J86" s="47">
        <v>119487.74840799101</v>
      </c>
      <c r="K86" s="47">
        <v>0</v>
      </c>
      <c r="L86" s="105">
        <f t="shared" si="14"/>
        <v>0.38799012651249581</v>
      </c>
      <c r="M86" s="61">
        <f t="shared" si="15"/>
        <v>5285.1572624181963</v>
      </c>
      <c r="O86" s="6">
        <v>96630.390348368659</v>
      </c>
      <c r="P86" s="47">
        <v>174927.69</v>
      </c>
      <c r="Q86" s="47">
        <v>23.445923024752499</v>
      </c>
      <c r="R86" s="61">
        <v>0.89597560145673794</v>
      </c>
      <c r="S86" s="61">
        <v>0.97427031586568535</v>
      </c>
      <c r="T86" s="61">
        <v>91770.371315850891</v>
      </c>
      <c r="U86" s="47">
        <v>102425.078502857</v>
      </c>
      <c r="V86" s="47">
        <v>94193.951946804998</v>
      </c>
      <c r="W86" s="47">
        <v>0</v>
      </c>
      <c r="X86" s="105">
        <f t="shared" si="16"/>
        <v>0.55240191160340968</v>
      </c>
      <c r="Y86" s="61">
        <f t="shared" si="17"/>
        <v>4121.4154907168004</v>
      </c>
    </row>
    <row r="87" spans="1:25" x14ac:dyDescent="0.2">
      <c r="A87" s="7" t="s">
        <v>160</v>
      </c>
      <c r="B87" s="7" t="s">
        <v>202</v>
      </c>
      <c r="C87" s="6">
        <v>97627.094599048447</v>
      </c>
      <c r="D87" s="47">
        <v>77040</v>
      </c>
      <c r="E87" s="47">
        <v>0</v>
      </c>
      <c r="F87" s="61">
        <v>0.33898073134058504</v>
      </c>
      <c r="G87" s="61">
        <v>0.42275470339942695</v>
      </c>
      <c r="H87" s="61">
        <v>40833.261821070198</v>
      </c>
      <c r="I87" s="47">
        <v>120458.946617953</v>
      </c>
      <c r="J87" s="47">
        <v>96588.545302333703</v>
      </c>
      <c r="K87" s="47">
        <v>0</v>
      </c>
      <c r="L87" s="105">
        <f t="shared" si="14"/>
        <v>1.2672260461974096</v>
      </c>
      <c r="M87" s="61">
        <v>0</v>
      </c>
      <c r="O87" s="6">
        <v>83396.094599048447</v>
      </c>
      <c r="P87" s="47">
        <v>0</v>
      </c>
      <c r="Q87" s="47">
        <v>0</v>
      </c>
      <c r="R87" s="61">
        <v>0</v>
      </c>
      <c r="S87" s="61">
        <v>0</v>
      </c>
      <c r="T87" s="61">
        <v>0</v>
      </c>
      <c r="U87" s="47">
        <v>83396.094599048403</v>
      </c>
      <c r="V87" s="47">
        <v>83396.094599048403</v>
      </c>
      <c r="W87" s="47">
        <v>0</v>
      </c>
      <c r="X87" s="105" t="e">
        <f t="shared" si="16"/>
        <v>#DIV/0!</v>
      </c>
      <c r="Y87" s="61">
        <v>0</v>
      </c>
    </row>
    <row r="88" spans="1:25" x14ac:dyDescent="0.2">
      <c r="A88" s="23"/>
      <c r="B88" s="23" t="s">
        <v>68</v>
      </c>
      <c r="C88" s="24">
        <f>SUM(C58:C87)</f>
        <v>18783468.018394582</v>
      </c>
      <c r="D88" s="53">
        <f>SUM(D58:D87)</f>
        <v>31981316.793667115</v>
      </c>
      <c r="E88" s="53">
        <f>SUM(E58:E87)</f>
        <v>3504.0033930765203</v>
      </c>
      <c r="F88" s="91">
        <f>H88/I88</f>
        <v>0.77336581190264853</v>
      </c>
      <c r="G88" s="91">
        <f>H88/J88</f>
        <v>1.1126931877655768</v>
      </c>
      <c r="H88" s="100">
        <f>SUM(H58:H87)</f>
        <v>20155465.075103819</v>
      </c>
      <c r="I88" s="100">
        <f>SUM(I58:I87)</f>
        <v>26062006.834148746</v>
      </c>
      <c r="J88" s="100">
        <f>SUM(J58:J87)</f>
        <v>18114126.424714115</v>
      </c>
      <c r="K88" s="53">
        <f>SUM(K58:K87)</f>
        <v>224.807650622773</v>
      </c>
      <c r="L88" s="113">
        <f t="shared" si="14"/>
        <v>0.58732628614322879</v>
      </c>
      <c r="M88" s="91">
        <f>C88/E88</f>
        <v>5360.5735814949276</v>
      </c>
      <c r="O88" s="24">
        <f>SUM(O58:O87)</f>
        <v>16995690.173956651</v>
      </c>
      <c r="P88" s="53">
        <f>SUM(P58:P87)</f>
        <v>23404868.313667115</v>
      </c>
      <c r="Q88" s="53">
        <f>SUM(Q58:Q87)</f>
        <v>3493.4650831372514</v>
      </c>
      <c r="R88" s="91">
        <f>T88/U88</f>
        <v>0.50483898394772353</v>
      </c>
      <c r="S88" s="91">
        <f>T88/V88</f>
        <v>0.65953215505574037</v>
      </c>
      <c r="T88" s="100">
        <f>SUM(T58:T87)</f>
        <v>10853799.950870026</v>
      </c>
      <c r="U88" s="100">
        <f>SUM(U58:U87)</f>
        <v>21499528.158455264</v>
      </c>
      <c r="V88" s="100">
        <f>SUM(V58:V87)</f>
        <v>16456816.953758255</v>
      </c>
      <c r="W88" s="53">
        <f>SUM(W58:W87)</f>
        <v>224.807650622773</v>
      </c>
      <c r="X88" s="113">
        <f t="shared" si="16"/>
        <v>0.7261604699579588</v>
      </c>
      <c r="Y88" s="91">
        <f>O88/Q88</f>
        <v>4864.9950033832711</v>
      </c>
    </row>
    <row r="89" spans="1:25" x14ac:dyDescent="0.2">
      <c r="A89" s="2"/>
      <c r="B89" s="2"/>
      <c r="C89" s="25"/>
      <c r="D89" s="54"/>
      <c r="E89" s="54"/>
      <c r="F89" s="54"/>
      <c r="G89" s="54"/>
      <c r="H89" s="54"/>
      <c r="I89" s="54"/>
      <c r="J89" s="54"/>
      <c r="K89" s="54"/>
      <c r="L89" s="125"/>
      <c r="M89" s="125"/>
      <c r="O89" s="25"/>
      <c r="P89" s="54"/>
      <c r="Q89" s="54"/>
      <c r="R89" s="54"/>
      <c r="S89" s="54"/>
      <c r="T89" s="54"/>
      <c r="U89" s="54"/>
      <c r="V89" s="54"/>
      <c r="W89" s="54"/>
      <c r="X89" s="125"/>
      <c r="Y89" s="125"/>
    </row>
    <row r="90" spans="1:25" x14ac:dyDescent="0.2">
      <c r="A90" s="26" t="s">
        <v>186</v>
      </c>
      <c r="B90" s="26" t="s">
        <v>69</v>
      </c>
      <c r="C90" s="27">
        <v>5661247.5744060008</v>
      </c>
      <c r="D90" s="55">
        <v>660569233.53682208</v>
      </c>
      <c r="E90" s="55">
        <v>128584.95746406852</v>
      </c>
      <c r="F90" s="55"/>
      <c r="G90" s="55"/>
      <c r="H90" s="55" t="s">
        <v>207</v>
      </c>
      <c r="I90" s="55" t="s">
        <v>207</v>
      </c>
      <c r="J90" s="55" t="s">
        <v>207</v>
      </c>
      <c r="K90" s="55">
        <v>0</v>
      </c>
      <c r="L90" s="114">
        <v>0</v>
      </c>
      <c r="M90" s="114">
        <v>0</v>
      </c>
      <c r="O90" s="27">
        <v>5661247.5744060008</v>
      </c>
      <c r="P90" s="55">
        <v>421000000</v>
      </c>
      <c r="Q90" s="55">
        <v>106000</v>
      </c>
      <c r="R90" s="55"/>
      <c r="S90" s="55"/>
      <c r="T90" s="55" t="s">
        <v>207</v>
      </c>
      <c r="U90" s="55" t="s">
        <v>207</v>
      </c>
      <c r="V90" s="55" t="s">
        <v>207</v>
      </c>
      <c r="W90" s="55">
        <v>0</v>
      </c>
      <c r="X90" s="114">
        <v>0</v>
      </c>
      <c r="Y90" s="114">
        <v>0</v>
      </c>
    </row>
    <row r="91" spans="1:25" ht="27" x14ac:dyDescent="0.2">
      <c r="A91" s="14"/>
      <c r="B91" s="14" t="s">
        <v>102</v>
      </c>
      <c r="C91" s="28"/>
      <c r="D91" s="56">
        <v>30881957</v>
      </c>
      <c r="E91" s="56">
        <v>4486</v>
      </c>
      <c r="F91" s="56"/>
      <c r="G91" s="56"/>
      <c r="H91" s="56" t="s">
        <v>207</v>
      </c>
      <c r="I91" s="56" t="s">
        <v>207</v>
      </c>
      <c r="J91" s="56" t="s">
        <v>207</v>
      </c>
      <c r="K91" s="56">
        <v>0</v>
      </c>
      <c r="L91" s="115">
        <v>0</v>
      </c>
      <c r="M91" s="115">
        <v>0</v>
      </c>
      <c r="O91" s="28"/>
      <c r="P91" s="56">
        <v>30881957</v>
      </c>
      <c r="Q91" s="56">
        <v>4486</v>
      </c>
      <c r="R91" s="56"/>
      <c r="S91" s="56"/>
      <c r="T91" s="56" t="s">
        <v>207</v>
      </c>
      <c r="U91" s="56" t="s">
        <v>207</v>
      </c>
      <c r="V91" s="56" t="s">
        <v>207</v>
      </c>
      <c r="W91" s="56">
        <v>0</v>
      </c>
      <c r="X91" s="115">
        <v>0</v>
      </c>
      <c r="Y91" s="115">
        <v>0</v>
      </c>
    </row>
    <row r="92" spans="1:25" x14ac:dyDescent="0.2">
      <c r="A92" s="2"/>
      <c r="B92" s="2"/>
      <c r="C92" s="29"/>
      <c r="D92" s="57"/>
      <c r="E92" s="57"/>
      <c r="F92" s="57"/>
      <c r="G92" s="57"/>
      <c r="H92" s="57"/>
      <c r="I92" s="57"/>
      <c r="J92" s="57"/>
      <c r="K92" s="57"/>
      <c r="L92" s="126"/>
      <c r="M92" s="126"/>
      <c r="O92" s="29"/>
      <c r="P92" s="57"/>
      <c r="Q92" s="57"/>
      <c r="R92" s="57"/>
      <c r="S92" s="57"/>
      <c r="T92" s="57"/>
      <c r="U92" s="57"/>
      <c r="V92" s="57"/>
      <c r="W92" s="57"/>
      <c r="X92" s="126"/>
      <c r="Y92" s="126"/>
    </row>
    <row r="93" spans="1:25" ht="27" x14ac:dyDescent="0.2">
      <c r="A93" s="30"/>
      <c r="B93" s="30" t="s">
        <v>101</v>
      </c>
      <c r="C93" s="31">
        <f>C90+C88+C55+C17</f>
        <v>229548256.6433256</v>
      </c>
      <c r="D93" s="58">
        <f>D90+D88+D55+D17+D91</f>
        <v>1400042666.7681656</v>
      </c>
      <c r="E93" s="58">
        <f>E90+E88+E55+E17+E91</f>
        <v>279649.53434907761</v>
      </c>
      <c r="F93" s="94">
        <f>H93/I93</f>
        <v>1.2947834186043254</v>
      </c>
      <c r="G93" s="94">
        <f>H93/J93</f>
        <v>1.8545876915921777</v>
      </c>
      <c r="H93" s="99">
        <f>H88+H55+H17</f>
        <v>395655782.73414785</v>
      </c>
      <c r="I93" s="99">
        <f>I88+I55+I17</f>
        <v>305576806.93859488</v>
      </c>
      <c r="J93" s="99">
        <f>J88+J55+J17</f>
        <v>213338945.6469833</v>
      </c>
      <c r="K93" s="58">
        <f>K90+K88+K55+K17+K91</f>
        <v>7523.9071706164177</v>
      </c>
      <c r="L93" s="116">
        <f>C93/D93</f>
        <v>0.16395804363106364</v>
      </c>
      <c r="M93" s="141">
        <f>C93/E93</f>
        <v>820.84262066672284</v>
      </c>
      <c r="O93" s="31">
        <f>O90+O88+O55+O17</f>
        <v>188438191.4638021</v>
      </c>
      <c r="P93" s="58">
        <f>P90+P88+P55+P17+P91</f>
        <v>918859766.76049376</v>
      </c>
      <c r="Q93" s="58">
        <f>Q90+Q88+Q55+Q17+Q91</f>
        <v>224541.42869278719</v>
      </c>
      <c r="R93" s="94">
        <f>T93/U93</f>
        <v>0.79782452033382745</v>
      </c>
      <c r="S93" s="94">
        <f>T93/V93</f>
        <v>1.1582980271034133</v>
      </c>
      <c r="T93" s="99">
        <f>T88+T55+T17</f>
        <v>202967415.426853</v>
      </c>
      <c r="U93" s="99">
        <f>U88+U55+U17</f>
        <v>254401074.7400029</v>
      </c>
      <c r="V93" s="99">
        <f>V88+V55+V17</f>
        <v>175229009.00938165</v>
      </c>
      <c r="W93" s="58">
        <f>W90+W88+W55+W17+W91</f>
        <v>7523.9071706164177</v>
      </c>
      <c r="X93" s="116">
        <f>O93/P93</f>
        <v>0.20507829190100957</v>
      </c>
      <c r="Y93" s="141">
        <f>O93/Q93</f>
        <v>839.21346969613887</v>
      </c>
    </row>
    <row r="94" spans="1:25" x14ac:dyDescent="0.25">
      <c r="A94" s="2"/>
      <c r="B94" s="2"/>
      <c r="C94" s="32"/>
      <c r="D94" s="59"/>
      <c r="E94" s="59"/>
      <c r="K94" s="59"/>
      <c r="L94" s="127"/>
      <c r="M94" s="127"/>
      <c r="O94" s="32"/>
      <c r="P94" s="59"/>
      <c r="Q94" s="59"/>
      <c r="W94" s="59"/>
      <c r="X94" s="127"/>
      <c r="Y94" s="127"/>
    </row>
    <row r="95" spans="1:25" x14ac:dyDescent="0.2">
      <c r="A95" s="3"/>
      <c r="B95" s="3" t="s">
        <v>70</v>
      </c>
      <c r="C95" s="35"/>
      <c r="D95" s="35"/>
      <c r="E95" s="35"/>
      <c r="F95" s="35"/>
      <c r="G95" s="35"/>
      <c r="H95" s="35"/>
      <c r="I95" s="35"/>
      <c r="J95" s="35"/>
      <c r="K95" s="35"/>
      <c r="L95" s="128"/>
      <c r="M95" s="128"/>
      <c r="O95" s="35"/>
      <c r="P95" s="35"/>
      <c r="Q95" s="35"/>
      <c r="R95" s="35"/>
      <c r="S95" s="35"/>
      <c r="T95" s="35"/>
      <c r="U95" s="35"/>
      <c r="V95" s="35"/>
      <c r="W95" s="35"/>
      <c r="X95" s="128"/>
      <c r="Y95" s="128"/>
    </row>
    <row r="96" spans="1:25" x14ac:dyDescent="0.2">
      <c r="A96" s="7" t="s">
        <v>163</v>
      </c>
      <c r="B96" s="7" t="s">
        <v>71</v>
      </c>
      <c r="C96" s="6">
        <v>93023.813566368175</v>
      </c>
      <c r="D96" s="63"/>
      <c r="E96" s="63"/>
      <c r="F96" s="80">
        <v>0</v>
      </c>
      <c r="G96" s="80">
        <v>0</v>
      </c>
      <c r="H96" s="80">
        <v>0</v>
      </c>
      <c r="I96" s="47">
        <v>93023.813566368204</v>
      </c>
      <c r="J96" s="47">
        <v>93023.813566368204</v>
      </c>
      <c r="K96" s="63"/>
      <c r="L96" s="118"/>
      <c r="M96" s="118"/>
      <c r="O96" s="6">
        <v>93023.813566368175</v>
      </c>
      <c r="P96" s="63"/>
      <c r="Q96" s="63"/>
      <c r="R96" s="80">
        <v>0</v>
      </c>
      <c r="S96" s="80">
        <v>0</v>
      </c>
      <c r="T96" s="80">
        <v>0</v>
      </c>
      <c r="U96" s="47">
        <v>93023.813566368204</v>
      </c>
      <c r="V96" s="47">
        <v>93023.813566368204</v>
      </c>
      <c r="W96" s="63"/>
      <c r="X96" s="118"/>
      <c r="Y96" s="118"/>
    </row>
    <row r="97" spans="1:25" x14ac:dyDescent="0.2">
      <c r="A97" s="7" t="s">
        <v>164</v>
      </c>
      <c r="B97" s="7" t="s">
        <v>72</v>
      </c>
      <c r="C97" s="6">
        <v>4349569.9093552595</v>
      </c>
      <c r="D97" s="63"/>
      <c r="E97" s="63"/>
      <c r="F97" s="80">
        <v>0</v>
      </c>
      <c r="G97" s="80">
        <v>0</v>
      </c>
      <c r="H97" s="80">
        <v>0</v>
      </c>
      <c r="I97" s="47">
        <v>4349569.9093552604</v>
      </c>
      <c r="J97" s="47">
        <v>4349569.9093552604</v>
      </c>
      <c r="K97" s="63"/>
      <c r="L97" s="118"/>
      <c r="M97" s="118"/>
      <c r="O97" s="6">
        <v>4349569.9093552595</v>
      </c>
      <c r="P97" s="63"/>
      <c r="Q97" s="63"/>
      <c r="R97" s="80">
        <v>0</v>
      </c>
      <c r="S97" s="80">
        <v>0</v>
      </c>
      <c r="T97" s="80">
        <v>0</v>
      </c>
      <c r="U97" s="47">
        <v>4349569.9093552604</v>
      </c>
      <c r="V97" s="47">
        <v>4349569.9093552604</v>
      </c>
      <c r="W97" s="63"/>
      <c r="X97" s="118"/>
      <c r="Y97" s="118"/>
    </row>
    <row r="98" spans="1:25" x14ac:dyDescent="0.2">
      <c r="A98" s="7" t="s">
        <v>165</v>
      </c>
      <c r="B98" s="7" t="s">
        <v>73</v>
      </c>
      <c r="C98" s="6">
        <v>0</v>
      </c>
      <c r="D98" s="63"/>
      <c r="E98" s="63"/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63"/>
      <c r="L98" s="118"/>
      <c r="M98" s="118"/>
      <c r="O98" s="6">
        <v>0</v>
      </c>
      <c r="P98" s="63"/>
      <c r="Q98" s="63"/>
      <c r="R98" s="80">
        <v>0</v>
      </c>
      <c r="S98" s="80">
        <v>0</v>
      </c>
      <c r="T98" s="80">
        <v>0</v>
      </c>
      <c r="U98" s="80">
        <v>0</v>
      </c>
      <c r="V98" s="80">
        <v>0</v>
      </c>
      <c r="W98" s="63"/>
      <c r="X98" s="118"/>
      <c r="Y98" s="118"/>
    </row>
    <row r="99" spans="1:25" x14ac:dyDescent="0.2">
      <c r="A99" s="7" t="s">
        <v>175</v>
      </c>
      <c r="B99" s="7" t="s">
        <v>87</v>
      </c>
      <c r="C99" s="6">
        <v>0</v>
      </c>
      <c r="D99" s="63"/>
      <c r="E99" s="63"/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63"/>
      <c r="L99" s="118"/>
      <c r="M99" s="118"/>
      <c r="O99" s="6">
        <v>0</v>
      </c>
      <c r="P99" s="63"/>
      <c r="Q99" s="63"/>
      <c r="R99" s="80">
        <v>0</v>
      </c>
      <c r="S99" s="80">
        <v>0</v>
      </c>
      <c r="T99" s="80">
        <v>0</v>
      </c>
      <c r="U99" s="80">
        <v>0</v>
      </c>
      <c r="V99" s="80">
        <v>0</v>
      </c>
      <c r="W99" s="63"/>
      <c r="X99" s="118"/>
      <c r="Y99" s="118"/>
    </row>
    <row r="100" spans="1:25" x14ac:dyDescent="0.2">
      <c r="A100" s="3"/>
      <c r="B100" s="3" t="s">
        <v>74</v>
      </c>
      <c r="C100" s="34">
        <f>SUM(C96:C99)</f>
        <v>4442593.7229216276</v>
      </c>
      <c r="D100" s="34"/>
      <c r="E100" s="34"/>
      <c r="F100" s="34"/>
      <c r="G100" s="34"/>
      <c r="H100" s="34"/>
      <c r="I100" s="34">
        <f>SUM(I96:I99)</f>
        <v>4442593.7229216285</v>
      </c>
      <c r="J100" s="34">
        <f>SUM(J96:J99)</f>
        <v>4442593.7229216285</v>
      </c>
      <c r="K100" s="34"/>
      <c r="L100" s="128"/>
      <c r="M100" s="128"/>
      <c r="O100" s="34">
        <f>SUM(O96:O99)</f>
        <v>4442593.7229216276</v>
      </c>
      <c r="P100" s="34"/>
      <c r="Q100" s="34"/>
      <c r="R100" s="34"/>
      <c r="S100" s="34"/>
      <c r="T100" s="34"/>
      <c r="U100" s="34">
        <f>SUM(U96:U99)</f>
        <v>4442593.7229216285</v>
      </c>
      <c r="V100" s="34">
        <f>SUM(V96:V99)</f>
        <v>4442593.7229216285</v>
      </c>
      <c r="W100" s="34"/>
      <c r="X100" s="128"/>
      <c r="Y100" s="128"/>
    </row>
    <row r="101" spans="1:25" s="33" customFormat="1" x14ac:dyDescent="0.25">
      <c r="C101" s="36"/>
      <c r="D101" s="36"/>
      <c r="E101" s="36"/>
      <c r="F101" s="36"/>
      <c r="G101" s="36"/>
      <c r="H101" s="36"/>
      <c r="I101" s="36"/>
      <c r="J101" s="36"/>
      <c r="K101" s="36"/>
      <c r="L101" s="129"/>
      <c r="M101" s="129"/>
      <c r="O101" s="36"/>
      <c r="P101" s="36"/>
      <c r="Q101" s="36"/>
      <c r="R101" s="36"/>
      <c r="S101" s="36"/>
      <c r="T101" s="36"/>
      <c r="U101" s="36"/>
      <c r="V101" s="36"/>
      <c r="W101" s="36"/>
      <c r="X101" s="129"/>
      <c r="Y101" s="129"/>
    </row>
    <row r="102" spans="1:25" x14ac:dyDescent="0.2">
      <c r="A102" s="11"/>
      <c r="B102" s="11" t="s">
        <v>75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130"/>
      <c r="M102" s="130"/>
      <c r="O102" s="38"/>
      <c r="P102" s="38"/>
      <c r="Q102" s="38"/>
      <c r="R102" s="38"/>
      <c r="S102" s="38"/>
      <c r="T102" s="38"/>
      <c r="U102" s="38"/>
      <c r="V102" s="38"/>
      <c r="W102" s="38"/>
      <c r="X102" s="130"/>
      <c r="Y102" s="130"/>
    </row>
    <row r="103" spans="1:25" x14ac:dyDescent="0.2">
      <c r="A103" s="7" t="s">
        <v>166</v>
      </c>
      <c r="B103" s="7" t="s">
        <v>76</v>
      </c>
      <c r="C103" s="6">
        <v>2107811.2775197369</v>
      </c>
      <c r="D103" s="63"/>
      <c r="E103" s="63"/>
      <c r="F103" s="80">
        <v>0</v>
      </c>
      <c r="G103" s="80">
        <v>0</v>
      </c>
      <c r="H103" s="80">
        <v>0</v>
      </c>
      <c r="I103" s="47">
        <v>2107811.2775197402</v>
      </c>
      <c r="J103" s="47">
        <v>2107811.2775197402</v>
      </c>
      <c r="K103" s="63"/>
      <c r="L103" s="118"/>
      <c r="M103" s="118"/>
      <c r="O103" s="6">
        <v>2107811.2775197369</v>
      </c>
      <c r="P103" s="63"/>
      <c r="Q103" s="63"/>
      <c r="R103" s="80">
        <v>0</v>
      </c>
      <c r="S103" s="80">
        <v>0</v>
      </c>
      <c r="T103" s="80">
        <v>0</v>
      </c>
      <c r="U103" s="47">
        <v>2107811.2775197402</v>
      </c>
      <c r="V103" s="47">
        <v>2107811.2775197402</v>
      </c>
      <c r="W103" s="63"/>
      <c r="X103" s="118"/>
      <c r="Y103" s="118"/>
    </row>
    <row r="104" spans="1:25" x14ac:dyDescent="0.2">
      <c r="A104" s="7" t="s">
        <v>167</v>
      </c>
      <c r="B104" s="7" t="s">
        <v>77</v>
      </c>
      <c r="C104" s="6">
        <v>407304.34580523078</v>
      </c>
      <c r="D104" s="63"/>
      <c r="E104" s="63"/>
      <c r="F104" s="80">
        <v>0</v>
      </c>
      <c r="G104" s="80">
        <v>0</v>
      </c>
      <c r="H104" s="80">
        <v>0</v>
      </c>
      <c r="I104" s="47">
        <v>407304.34580523102</v>
      </c>
      <c r="J104" s="47">
        <v>407304.34580523102</v>
      </c>
      <c r="K104" s="63"/>
      <c r="L104" s="118"/>
      <c r="M104" s="118"/>
      <c r="O104" s="6">
        <v>407304.34580523078</v>
      </c>
      <c r="P104" s="63"/>
      <c r="Q104" s="63"/>
      <c r="R104" s="80">
        <v>0</v>
      </c>
      <c r="S104" s="80">
        <v>0</v>
      </c>
      <c r="T104" s="80">
        <v>0</v>
      </c>
      <c r="U104" s="47">
        <v>407304.34580523102</v>
      </c>
      <c r="V104" s="47">
        <v>407304.34580523102</v>
      </c>
      <c r="W104" s="63"/>
      <c r="X104" s="118"/>
      <c r="Y104" s="118"/>
    </row>
    <row r="105" spans="1:25" x14ac:dyDescent="0.2">
      <c r="A105" s="7" t="s">
        <v>168</v>
      </c>
      <c r="B105" s="7" t="s">
        <v>78</v>
      </c>
      <c r="C105" s="6">
        <v>770177.25881209597</v>
      </c>
      <c r="D105" s="63"/>
      <c r="E105" s="63"/>
      <c r="F105" s="80">
        <v>0</v>
      </c>
      <c r="G105" s="80">
        <v>0</v>
      </c>
      <c r="H105" s="80">
        <v>0</v>
      </c>
      <c r="I105" s="47">
        <v>770177.25881209597</v>
      </c>
      <c r="J105" s="47">
        <v>770177.25881209597</v>
      </c>
      <c r="K105" s="63"/>
      <c r="L105" s="118"/>
      <c r="M105" s="118"/>
      <c r="O105" s="6">
        <v>770177.25881209597</v>
      </c>
      <c r="P105" s="63"/>
      <c r="Q105" s="63"/>
      <c r="R105" s="80">
        <v>0</v>
      </c>
      <c r="S105" s="80">
        <v>0</v>
      </c>
      <c r="T105" s="80">
        <v>0</v>
      </c>
      <c r="U105" s="47">
        <v>770177.25881209597</v>
      </c>
      <c r="V105" s="47">
        <v>770177.25881209597</v>
      </c>
      <c r="W105" s="63"/>
      <c r="X105" s="118"/>
      <c r="Y105" s="118"/>
    </row>
    <row r="106" spans="1:25" x14ac:dyDescent="0.2">
      <c r="A106" s="7" t="s">
        <v>169</v>
      </c>
      <c r="B106" s="7" t="s">
        <v>79</v>
      </c>
      <c r="C106" s="6">
        <v>343814.22590423905</v>
      </c>
      <c r="D106" s="63"/>
      <c r="E106" s="63"/>
      <c r="F106" s="80">
        <v>0</v>
      </c>
      <c r="G106" s="80">
        <v>0</v>
      </c>
      <c r="H106" s="80">
        <v>0</v>
      </c>
      <c r="I106" s="47">
        <v>343814.22590423899</v>
      </c>
      <c r="J106" s="47">
        <v>343814.22590423899</v>
      </c>
      <c r="K106" s="63"/>
      <c r="L106" s="118"/>
      <c r="M106" s="118"/>
      <c r="O106" s="6">
        <v>343814.22590423905</v>
      </c>
      <c r="P106" s="63"/>
      <c r="Q106" s="63"/>
      <c r="R106" s="80">
        <v>0</v>
      </c>
      <c r="S106" s="80">
        <v>0</v>
      </c>
      <c r="T106" s="80">
        <v>0</v>
      </c>
      <c r="U106" s="47">
        <v>343814.22590423899</v>
      </c>
      <c r="V106" s="47">
        <v>343814.22590423899</v>
      </c>
      <c r="W106" s="63"/>
      <c r="X106" s="118"/>
      <c r="Y106" s="118"/>
    </row>
    <row r="107" spans="1:25" x14ac:dyDescent="0.2">
      <c r="A107" s="7" t="s">
        <v>170</v>
      </c>
      <c r="B107" s="7" t="s">
        <v>80</v>
      </c>
      <c r="C107" s="6">
        <v>2072061.9582732215</v>
      </c>
      <c r="D107" s="63"/>
      <c r="E107" s="63"/>
      <c r="F107" s="80">
        <v>0</v>
      </c>
      <c r="G107" s="80">
        <v>0</v>
      </c>
      <c r="H107" s="80">
        <v>0</v>
      </c>
      <c r="I107" s="47">
        <v>2072061.9582732201</v>
      </c>
      <c r="J107" s="47">
        <v>2072061.9582732201</v>
      </c>
      <c r="K107" s="63"/>
      <c r="L107" s="118"/>
      <c r="M107" s="118"/>
      <c r="O107" s="6">
        <v>2072061.9582732215</v>
      </c>
      <c r="P107" s="63"/>
      <c r="Q107" s="63"/>
      <c r="R107" s="80">
        <v>0</v>
      </c>
      <c r="S107" s="80">
        <v>0</v>
      </c>
      <c r="T107" s="80">
        <v>0</v>
      </c>
      <c r="U107" s="47">
        <v>2072061.9582732201</v>
      </c>
      <c r="V107" s="47">
        <v>2072061.9582732201</v>
      </c>
      <c r="W107" s="63"/>
      <c r="X107" s="118"/>
      <c r="Y107" s="118"/>
    </row>
    <row r="108" spans="1:25" x14ac:dyDescent="0.2">
      <c r="A108" s="7" t="s">
        <v>171</v>
      </c>
      <c r="B108" s="7" t="s">
        <v>81</v>
      </c>
      <c r="C108" s="6">
        <v>69322.099532619774</v>
      </c>
      <c r="D108" s="63"/>
      <c r="E108" s="63"/>
      <c r="F108" s="80">
        <v>0</v>
      </c>
      <c r="G108" s="80">
        <v>0</v>
      </c>
      <c r="H108" s="80">
        <v>0</v>
      </c>
      <c r="I108" s="47">
        <v>69322.099532619803</v>
      </c>
      <c r="J108" s="47">
        <v>69322.099532619803</v>
      </c>
      <c r="K108" s="63"/>
      <c r="L108" s="118"/>
      <c r="M108" s="118"/>
      <c r="O108" s="6">
        <v>69322.099532619774</v>
      </c>
      <c r="P108" s="63"/>
      <c r="Q108" s="63"/>
      <c r="R108" s="80">
        <v>0</v>
      </c>
      <c r="S108" s="80">
        <v>0</v>
      </c>
      <c r="T108" s="80">
        <v>0</v>
      </c>
      <c r="U108" s="47">
        <v>69322.099532619803</v>
      </c>
      <c r="V108" s="47">
        <v>69322.099532619803</v>
      </c>
      <c r="W108" s="63"/>
      <c r="X108" s="118"/>
      <c r="Y108" s="118"/>
    </row>
    <row r="109" spans="1:25" x14ac:dyDescent="0.2">
      <c r="A109" s="7" t="s">
        <v>172</v>
      </c>
      <c r="B109" s="7" t="s">
        <v>82</v>
      </c>
      <c r="C109" s="6">
        <v>1428166.4629099849</v>
      </c>
      <c r="D109" s="63"/>
      <c r="E109" s="63"/>
      <c r="F109" s="80">
        <v>0</v>
      </c>
      <c r="G109" s="80">
        <v>0</v>
      </c>
      <c r="H109" s="80">
        <v>0</v>
      </c>
      <c r="I109" s="47">
        <v>1428166.46290998</v>
      </c>
      <c r="J109" s="47">
        <v>1428166.46290998</v>
      </c>
      <c r="K109" s="63"/>
      <c r="L109" s="118"/>
      <c r="M109" s="118"/>
      <c r="O109" s="6">
        <v>1428166.4629099849</v>
      </c>
      <c r="P109" s="63"/>
      <c r="Q109" s="63"/>
      <c r="R109" s="80">
        <v>0</v>
      </c>
      <c r="S109" s="80">
        <v>0</v>
      </c>
      <c r="T109" s="80">
        <v>0</v>
      </c>
      <c r="U109" s="47">
        <v>1428166.46290998</v>
      </c>
      <c r="V109" s="47">
        <v>1428166.46290998</v>
      </c>
      <c r="W109" s="63"/>
      <c r="X109" s="118"/>
      <c r="Y109" s="118"/>
    </row>
    <row r="110" spans="1:25" x14ac:dyDescent="0.2">
      <c r="A110" s="7" t="s">
        <v>173</v>
      </c>
      <c r="B110" s="7" t="s">
        <v>83</v>
      </c>
      <c r="C110" s="6">
        <v>0</v>
      </c>
      <c r="D110" s="63"/>
      <c r="E110" s="63"/>
      <c r="F110" s="80">
        <v>0</v>
      </c>
      <c r="G110" s="80">
        <v>0</v>
      </c>
      <c r="H110" s="80">
        <v>0</v>
      </c>
      <c r="I110" s="80">
        <v>0</v>
      </c>
      <c r="J110" s="80">
        <v>0</v>
      </c>
      <c r="K110" s="63"/>
      <c r="L110" s="118"/>
      <c r="M110" s="118"/>
      <c r="O110" s="6">
        <v>0</v>
      </c>
      <c r="P110" s="63"/>
      <c r="Q110" s="63"/>
      <c r="R110" s="80">
        <v>0</v>
      </c>
      <c r="S110" s="80">
        <v>0</v>
      </c>
      <c r="T110" s="80">
        <v>0</v>
      </c>
      <c r="U110" s="80">
        <v>0</v>
      </c>
      <c r="V110" s="80">
        <v>0</v>
      </c>
      <c r="W110" s="63"/>
      <c r="X110" s="118"/>
      <c r="Y110" s="118"/>
    </row>
    <row r="111" spans="1:25" x14ac:dyDescent="0.2">
      <c r="A111" s="7" t="s">
        <v>174</v>
      </c>
      <c r="B111" s="7" t="s">
        <v>84</v>
      </c>
      <c r="C111" s="6">
        <v>0</v>
      </c>
      <c r="D111" s="63"/>
      <c r="E111" s="63"/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63"/>
      <c r="L111" s="118"/>
      <c r="M111" s="118"/>
      <c r="O111" s="6">
        <v>0</v>
      </c>
      <c r="P111" s="63"/>
      <c r="Q111" s="63"/>
      <c r="R111" s="80">
        <v>0</v>
      </c>
      <c r="S111" s="80">
        <v>0</v>
      </c>
      <c r="T111" s="80">
        <v>0</v>
      </c>
      <c r="U111" s="80">
        <v>0</v>
      </c>
      <c r="V111" s="80">
        <v>0</v>
      </c>
      <c r="W111" s="63"/>
      <c r="X111" s="118"/>
      <c r="Y111" s="118"/>
    </row>
    <row r="112" spans="1:25" x14ac:dyDescent="0.2">
      <c r="A112" s="11"/>
      <c r="B112" s="11" t="s">
        <v>85</v>
      </c>
      <c r="C112" s="37">
        <f>SUM(C103:C111)</f>
        <v>7198657.6287571285</v>
      </c>
      <c r="D112" s="37"/>
      <c r="E112" s="37"/>
      <c r="F112" s="37"/>
      <c r="G112" s="37"/>
      <c r="H112" s="37">
        <v>0</v>
      </c>
      <c r="I112" s="37">
        <f>SUM(I103:I111)</f>
        <v>7198657.6287571257</v>
      </c>
      <c r="J112" s="37">
        <f>SUM(J103:J111)</f>
        <v>7198657.6287571257</v>
      </c>
      <c r="K112" s="37"/>
      <c r="L112" s="130"/>
      <c r="M112" s="130"/>
      <c r="O112" s="37">
        <f>SUM(O103:O111)</f>
        <v>7198657.6287571285</v>
      </c>
      <c r="P112" s="37"/>
      <c r="Q112" s="37"/>
      <c r="R112" s="37"/>
      <c r="S112" s="37"/>
      <c r="T112" s="37">
        <v>0</v>
      </c>
      <c r="U112" s="37">
        <f>SUM(U103:U111)</f>
        <v>7198657.6287571257</v>
      </c>
      <c r="V112" s="37">
        <f>SUM(V103:V111)</f>
        <v>7198657.6287571257</v>
      </c>
      <c r="W112" s="37"/>
      <c r="X112" s="130"/>
      <c r="Y112" s="130"/>
    </row>
    <row r="113" spans="1:25" s="33" customFormat="1" x14ac:dyDescent="0.25">
      <c r="C113" s="36"/>
      <c r="D113" s="36"/>
      <c r="E113" s="36"/>
      <c r="F113" s="36"/>
      <c r="G113" s="36"/>
      <c r="H113" s="36"/>
      <c r="I113" s="36"/>
      <c r="J113" s="36"/>
      <c r="K113" s="36"/>
      <c r="L113" s="129"/>
      <c r="M113" s="129"/>
      <c r="O113" s="36"/>
      <c r="P113" s="36"/>
      <c r="Q113" s="36"/>
      <c r="R113" s="36"/>
      <c r="S113" s="36"/>
      <c r="T113" s="36"/>
      <c r="U113" s="36"/>
      <c r="V113" s="36"/>
      <c r="W113" s="36"/>
      <c r="X113" s="129"/>
      <c r="Y113" s="129"/>
    </row>
    <row r="114" spans="1:25" x14ac:dyDescent="0.2">
      <c r="A114" s="23"/>
      <c r="B114" s="23" t="s">
        <v>86</v>
      </c>
      <c r="C114" s="40"/>
      <c r="D114" s="40"/>
      <c r="E114" s="40"/>
      <c r="F114" s="40"/>
      <c r="G114" s="40"/>
      <c r="H114" s="40"/>
      <c r="I114" s="40"/>
      <c r="J114" s="40"/>
      <c r="K114" s="40"/>
      <c r="L114" s="131"/>
      <c r="M114" s="131"/>
      <c r="O114" s="40"/>
      <c r="P114" s="40"/>
      <c r="Q114" s="40"/>
      <c r="R114" s="40"/>
      <c r="S114" s="40"/>
      <c r="T114" s="40"/>
      <c r="U114" s="40"/>
      <c r="V114" s="40"/>
      <c r="W114" s="40"/>
      <c r="X114" s="131"/>
      <c r="Y114" s="131"/>
    </row>
    <row r="115" spans="1:25" x14ac:dyDescent="0.2">
      <c r="A115" s="7" t="s">
        <v>176</v>
      </c>
      <c r="B115" s="7" t="s">
        <v>88</v>
      </c>
      <c r="C115" s="6">
        <v>473651.84261813335</v>
      </c>
      <c r="D115" s="63"/>
      <c r="E115" s="63"/>
      <c r="F115" s="80">
        <v>0</v>
      </c>
      <c r="G115" s="80">
        <v>0</v>
      </c>
      <c r="H115" s="80">
        <v>0</v>
      </c>
      <c r="I115" s="47">
        <v>473651.842618133</v>
      </c>
      <c r="J115" s="47">
        <v>473651.842618133</v>
      </c>
      <c r="K115" s="63"/>
      <c r="L115" s="118"/>
      <c r="M115" s="118"/>
      <c r="O115" s="6">
        <v>473651.84261813335</v>
      </c>
      <c r="P115" s="63"/>
      <c r="Q115" s="63"/>
      <c r="R115" s="80">
        <v>0</v>
      </c>
      <c r="S115" s="80">
        <v>0</v>
      </c>
      <c r="T115" s="80">
        <v>0</v>
      </c>
      <c r="U115" s="47">
        <v>473651.842618133</v>
      </c>
      <c r="V115" s="47">
        <v>473651.842618133</v>
      </c>
      <c r="W115" s="63"/>
      <c r="X115" s="118"/>
      <c r="Y115" s="118"/>
    </row>
    <row r="116" spans="1:25" x14ac:dyDescent="0.2">
      <c r="A116" s="7" t="s">
        <v>177</v>
      </c>
      <c r="B116" s="7" t="s">
        <v>89</v>
      </c>
      <c r="C116" s="6">
        <v>1087634.6595500526</v>
      </c>
      <c r="D116" s="63"/>
      <c r="E116" s="63"/>
      <c r="F116" s="80">
        <v>0</v>
      </c>
      <c r="G116" s="80">
        <v>0</v>
      </c>
      <c r="H116" s="80">
        <v>0</v>
      </c>
      <c r="I116" s="47">
        <v>1087634.65955005</v>
      </c>
      <c r="J116" s="47">
        <v>1087634.65955005</v>
      </c>
      <c r="K116" s="63"/>
      <c r="L116" s="118"/>
      <c r="M116" s="118"/>
      <c r="O116" s="6">
        <v>1087634.6595500526</v>
      </c>
      <c r="P116" s="63"/>
      <c r="Q116" s="63"/>
      <c r="R116" s="80">
        <v>0</v>
      </c>
      <c r="S116" s="80">
        <v>0</v>
      </c>
      <c r="T116" s="80">
        <v>0</v>
      </c>
      <c r="U116" s="47">
        <v>1087634.65955005</v>
      </c>
      <c r="V116" s="47">
        <v>1087634.65955005</v>
      </c>
      <c r="W116" s="63"/>
      <c r="X116" s="118"/>
      <c r="Y116" s="118"/>
    </row>
    <row r="117" spans="1:25" x14ac:dyDescent="0.2">
      <c r="A117" s="23"/>
      <c r="B117" s="23" t="s">
        <v>90</v>
      </c>
      <c r="C117" s="39">
        <f>SUM(C115:C116)</f>
        <v>1561286.502168186</v>
      </c>
      <c r="D117" s="39"/>
      <c r="E117" s="39"/>
      <c r="F117" s="39"/>
      <c r="G117" s="39"/>
      <c r="H117" s="39">
        <v>0</v>
      </c>
      <c r="I117" s="39">
        <f>SUM(I115:I116)</f>
        <v>1561286.502168183</v>
      </c>
      <c r="J117" s="39">
        <f>SUM(J115:J116)</f>
        <v>1561286.502168183</v>
      </c>
      <c r="K117" s="39"/>
      <c r="L117" s="131"/>
      <c r="M117" s="131"/>
      <c r="O117" s="39">
        <f>SUM(O115:O116)</f>
        <v>1561286.502168186</v>
      </c>
      <c r="P117" s="39"/>
      <c r="Q117" s="39"/>
      <c r="R117" s="39"/>
      <c r="S117" s="39"/>
      <c r="T117" s="39">
        <v>0</v>
      </c>
      <c r="U117" s="39">
        <f>SUM(U115:U116)</f>
        <v>1561286.502168183</v>
      </c>
      <c r="V117" s="39">
        <f>SUM(V115:V116)</f>
        <v>1561286.502168183</v>
      </c>
      <c r="W117" s="39"/>
      <c r="X117" s="131"/>
      <c r="Y117" s="131"/>
    </row>
    <row r="118" spans="1:25" s="33" customFormat="1" x14ac:dyDescent="0.25">
      <c r="C118" s="36"/>
      <c r="D118" s="36"/>
      <c r="E118" s="36"/>
      <c r="F118" s="36"/>
      <c r="G118" s="36"/>
      <c r="H118" s="36"/>
      <c r="I118" s="36"/>
      <c r="J118" s="36"/>
      <c r="K118" s="36"/>
      <c r="L118" s="129"/>
      <c r="M118" s="129"/>
      <c r="O118" s="36"/>
      <c r="P118" s="36"/>
      <c r="Q118" s="36"/>
      <c r="R118" s="36"/>
      <c r="S118" s="36"/>
      <c r="T118" s="36"/>
      <c r="U118" s="36"/>
      <c r="V118" s="36"/>
      <c r="W118" s="36"/>
      <c r="X118" s="129"/>
      <c r="Y118" s="129"/>
    </row>
    <row r="119" spans="1:25" x14ac:dyDescent="0.2">
      <c r="A119" s="41"/>
      <c r="B119" s="41" t="s">
        <v>91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132"/>
      <c r="M119" s="132"/>
      <c r="O119" s="43"/>
      <c r="P119" s="43"/>
      <c r="Q119" s="43"/>
      <c r="R119" s="43"/>
      <c r="S119" s="43"/>
      <c r="T119" s="43"/>
      <c r="U119" s="43"/>
      <c r="V119" s="43"/>
      <c r="W119" s="43"/>
      <c r="X119" s="132"/>
      <c r="Y119" s="132"/>
    </row>
    <row r="120" spans="1:25" x14ac:dyDescent="0.2">
      <c r="A120" s="7" t="s">
        <v>178</v>
      </c>
      <c r="B120" s="7" t="s">
        <v>92</v>
      </c>
      <c r="C120" s="6">
        <v>7476486.267967687</v>
      </c>
      <c r="D120" s="63"/>
      <c r="E120" s="63"/>
      <c r="F120" s="80">
        <v>0</v>
      </c>
      <c r="G120" s="80">
        <v>0</v>
      </c>
      <c r="H120" s="80" t="s">
        <v>206</v>
      </c>
      <c r="I120" s="80" t="s">
        <v>206</v>
      </c>
      <c r="J120" s="80" t="s">
        <v>206</v>
      </c>
      <c r="K120" s="63"/>
      <c r="L120" s="118"/>
      <c r="M120" s="118"/>
      <c r="O120" s="6">
        <v>7476486.267967687</v>
      </c>
      <c r="P120" s="63"/>
      <c r="Q120" s="63"/>
      <c r="R120" s="80">
        <v>0</v>
      </c>
      <c r="S120" s="80">
        <v>0</v>
      </c>
      <c r="T120" s="80" t="s">
        <v>206</v>
      </c>
      <c r="U120" s="80" t="s">
        <v>206</v>
      </c>
      <c r="V120" s="80" t="s">
        <v>206</v>
      </c>
      <c r="W120" s="63"/>
      <c r="X120" s="118"/>
      <c r="Y120" s="118"/>
    </row>
    <row r="121" spans="1:25" x14ac:dyDescent="0.2">
      <c r="A121" s="7" t="s">
        <v>179</v>
      </c>
      <c r="B121" s="7" t="s">
        <v>93</v>
      </c>
      <c r="C121" s="6">
        <v>136999.40388203855</v>
      </c>
      <c r="D121" s="63"/>
      <c r="E121" s="63"/>
      <c r="F121" s="80">
        <v>0</v>
      </c>
      <c r="G121" s="80">
        <v>0</v>
      </c>
      <c r="H121" s="80">
        <v>0</v>
      </c>
      <c r="I121" s="47">
        <v>136999.40388203901</v>
      </c>
      <c r="J121" s="47">
        <v>136999.40388203901</v>
      </c>
      <c r="K121" s="63"/>
      <c r="L121" s="118"/>
      <c r="M121" s="118"/>
      <c r="O121" s="6">
        <v>136999.40388203855</v>
      </c>
      <c r="P121" s="63"/>
      <c r="Q121" s="63"/>
      <c r="R121" s="80">
        <v>0</v>
      </c>
      <c r="S121" s="80">
        <v>0</v>
      </c>
      <c r="T121" s="80">
        <v>0</v>
      </c>
      <c r="U121" s="47">
        <v>136999.40388203901</v>
      </c>
      <c r="V121" s="47">
        <v>136999.40388203901</v>
      </c>
      <c r="W121" s="63"/>
      <c r="X121" s="118"/>
      <c r="Y121" s="118"/>
    </row>
    <row r="122" spans="1:25" x14ac:dyDescent="0.2">
      <c r="A122" s="7" t="s">
        <v>161</v>
      </c>
      <c r="B122" s="7" t="s">
        <v>94</v>
      </c>
      <c r="C122" s="6">
        <v>4461304.4000000004</v>
      </c>
      <c r="D122" s="63"/>
      <c r="E122" s="63"/>
      <c r="F122" s="80">
        <v>0</v>
      </c>
      <c r="G122" s="80">
        <v>0</v>
      </c>
      <c r="H122" s="80">
        <v>0</v>
      </c>
      <c r="I122" s="47">
        <v>4377972</v>
      </c>
      <c r="J122" s="47">
        <v>4377972</v>
      </c>
      <c r="K122" s="63"/>
      <c r="L122" s="118"/>
      <c r="M122" s="118"/>
      <c r="O122" s="6">
        <v>4461304.4000000004</v>
      </c>
      <c r="P122" s="63"/>
      <c r="Q122" s="63"/>
      <c r="R122" s="80">
        <v>0</v>
      </c>
      <c r="S122" s="80">
        <v>0</v>
      </c>
      <c r="T122" s="80">
        <v>0</v>
      </c>
      <c r="U122" s="47">
        <v>4377972</v>
      </c>
      <c r="V122" s="47">
        <v>4377972</v>
      </c>
      <c r="W122" s="63"/>
      <c r="X122" s="118"/>
      <c r="Y122" s="118"/>
    </row>
    <row r="123" spans="1:25" x14ac:dyDescent="0.2">
      <c r="A123" s="7" t="s">
        <v>162</v>
      </c>
      <c r="B123" s="7" t="s">
        <v>95</v>
      </c>
      <c r="C123" s="6">
        <v>6691956.5999999996</v>
      </c>
      <c r="D123" s="63"/>
      <c r="E123" s="63"/>
      <c r="F123" s="80">
        <v>0</v>
      </c>
      <c r="G123" s="80">
        <v>0</v>
      </c>
      <c r="H123" s="80">
        <v>0</v>
      </c>
      <c r="I123" s="47">
        <v>6566959</v>
      </c>
      <c r="J123" s="47">
        <v>6566959</v>
      </c>
      <c r="K123" s="63"/>
      <c r="L123" s="118"/>
      <c r="M123" s="118"/>
      <c r="O123" s="6">
        <v>6691956.5999999996</v>
      </c>
      <c r="P123" s="63"/>
      <c r="Q123" s="63"/>
      <c r="R123" s="80">
        <v>0</v>
      </c>
      <c r="S123" s="80">
        <v>0</v>
      </c>
      <c r="T123" s="80">
        <v>0</v>
      </c>
      <c r="U123" s="47">
        <v>6566959</v>
      </c>
      <c r="V123" s="47">
        <v>6566959</v>
      </c>
      <c r="W123" s="63"/>
      <c r="X123" s="118"/>
      <c r="Y123" s="118"/>
    </row>
    <row r="124" spans="1:25" x14ac:dyDescent="0.2">
      <c r="A124" s="7" t="s">
        <v>195</v>
      </c>
      <c r="B124" s="7" t="s">
        <v>96</v>
      </c>
      <c r="C124" s="6">
        <v>17314000</v>
      </c>
      <c r="D124" s="63"/>
      <c r="E124" s="63"/>
      <c r="F124" s="80">
        <v>0</v>
      </c>
      <c r="G124" s="80">
        <v>0</v>
      </c>
      <c r="H124" s="80" t="s">
        <v>207</v>
      </c>
      <c r="I124" s="80" t="s">
        <v>207</v>
      </c>
      <c r="J124" s="80" t="s">
        <v>207</v>
      </c>
      <c r="K124" s="63"/>
      <c r="L124" s="118"/>
      <c r="M124" s="118"/>
      <c r="O124" s="6">
        <v>17314000</v>
      </c>
      <c r="P124" s="63"/>
      <c r="Q124" s="63"/>
      <c r="R124" s="80">
        <v>0</v>
      </c>
      <c r="S124" s="80">
        <v>0</v>
      </c>
      <c r="T124" s="80" t="s">
        <v>207</v>
      </c>
      <c r="U124" s="80" t="s">
        <v>207</v>
      </c>
      <c r="V124" s="80" t="s">
        <v>207</v>
      </c>
      <c r="W124" s="63"/>
      <c r="X124" s="118"/>
      <c r="Y124" s="118"/>
    </row>
    <row r="125" spans="1:25" x14ac:dyDescent="0.2">
      <c r="A125" s="41"/>
      <c r="B125" s="41" t="s">
        <v>97</v>
      </c>
      <c r="C125" s="42">
        <f>SUM(C120:C124)</f>
        <v>36080746.671849728</v>
      </c>
      <c r="D125" s="42"/>
      <c r="E125" s="42"/>
      <c r="F125" s="42"/>
      <c r="G125" s="42"/>
      <c r="H125" s="42">
        <v>0</v>
      </c>
      <c r="I125" s="42">
        <f>SUM(I120:I124)</f>
        <v>11081930.403882038</v>
      </c>
      <c r="J125" s="42">
        <f>SUM(J120:J124)</f>
        <v>11081930.403882038</v>
      </c>
      <c r="K125" s="42"/>
      <c r="L125" s="132"/>
      <c r="M125" s="132"/>
      <c r="O125" s="42">
        <f>SUM(O120:O124)</f>
        <v>36080746.671849728</v>
      </c>
      <c r="P125" s="42"/>
      <c r="Q125" s="42"/>
      <c r="R125" s="42"/>
      <c r="S125" s="42"/>
      <c r="T125" s="42">
        <v>0</v>
      </c>
      <c r="U125" s="42">
        <f>SUM(U120:U124)</f>
        <v>11081930.403882038</v>
      </c>
      <c r="V125" s="42">
        <f>SUM(V120:V124)</f>
        <v>11081930.403882038</v>
      </c>
      <c r="W125" s="42"/>
      <c r="X125" s="132"/>
      <c r="Y125" s="132"/>
    </row>
    <row r="126" spans="1:25" s="33" customFormat="1" x14ac:dyDescent="0.25">
      <c r="C126" s="36"/>
      <c r="D126" s="36"/>
      <c r="E126" s="36"/>
      <c r="F126" s="36"/>
      <c r="G126" s="36"/>
      <c r="H126" s="36"/>
      <c r="I126" s="36"/>
      <c r="J126" s="36"/>
      <c r="K126" s="36"/>
      <c r="L126" s="129"/>
      <c r="M126" s="129"/>
      <c r="O126" s="36"/>
      <c r="P126" s="36"/>
      <c r="Q126" s="36"/>
      <c r="R126" s="36"/>
      <c r="S126" s="36"/>
      <c r="T126" s="36"/>
      <c r="U126" s="36"/>
      <c r="V126" s="36"/>
      <c r="W126" s="36"/>
      <c r="X126" s="129"/>
      <c r="Y126" s="129"/>
    </row>
    <row r="127" spans="1:25" ht="27" x14ac:dyDescent="0.2">
      <c r="A127" s="44"/>
      <c r="B127" s="44" t="s">
        <v>100</v>
      </c>
      <c r="C127" s="45">
        <f>C125+C117+C112+C100+C93</f>
        <v>278831541.16902226</v>
      </c>
      <c r="D127" s="70">
        <f>D93</f>
        <v>1400042666.7681656</v>
      </c>
      <c r="E127" s="70">
        <f>E93</f>
        <v>279649.53434907761</v>
      </c>
      <c r="F127" s="95">
        <f>H127/I127</f>
        <v>1.069451883914577</v>
      </c>
      <c r="G127" s="95">
        <f>H127/J127</f>
        <v>1.424639633984546</v>
      </c>
      <c r="H127" s="98">
        <f>H125+H117+H112+H100+H93</f>
        <v>395655782.73414785</v>
      </c>
      <c r="I127" s="98">
        <f>I125+I117+I112+I100+I93+22500000+17600000</f>
        <v>369961275.19632387</v>
      </c>
      <c r="J127" s="98">
        <f>J125+J117+J112+J100+J93+22500000+17600000</f>
        <v>277723413.90471226</v>
      </c>
      <c r="K127" s="70">
        <f>K93</f>
        <v>7523.9071706164177</v>
      </c>
      <c r="L127" s="117">
        <f>C127/D127</f>
        <v>0.19915931691758523</v>
      </c>
      <c r="M127" s="95">
        <f>C127/E127</f>
        <v>997.07493458925524</v>
      </c>
      <c r="O127" s="45">
        <f>O125+O117+O112+O100+O93</f>
        <v>237721475.98949876</v>
      </c>
      <c r="P127" s="70">
        <f>P93</f>
        <v>918859766.76049376</v>
      </c>
      <c r="Q127" s="70">
        <f>Q93</f>
        <v>224541.42869278719</v>
      </c>
      <c r="R127" s="95">
        <f>T127/U127</f>
        <v>0.63668952336491969</v>
      </c>
      <c r="S127" s="95">
        <f>T127/V127</f>
        <v>0.8470617668996715</v>
      </c>
      <c r="T127" s="98">
        <f>T125+T117+T112+T100+T93</f>
        <v>202967415.426853</v>
      </c>
      <c r="U127" s="98">
        <f>U125+U117+U112+U100+U93+22500000+17600000</f>
        <v>318785542.99773186</v>
      </c>
      <c r="V127" s="98">
        <f>V125+V117+V112+V100+V93+22500000+17600000</f>
        <v>239613477.26711062</v>
      </c>
      <c r="W127" s="70">
        <f>W93</f>
        <v>7523.9071706164177</v>
      </c>
      <c r="X127" s="117">
        <f>O127/P127</f>
        <v>0.25871355411240055</v>
      </c>
      <c r="Y127" s="95">
        <f>O127/Q127</f>
        <v>1058.6976192920918</v>
      </c>
    </row>
    <row r="128" spans="1:25" x14ac:dyDescent="0.2">
      <c r="A128" s="71"/>
      <c r="B128" s="71" t="s">
        <v>194</v>
      </c>
      <c r="C128" s="72">
        <v>278831541.16902226</v>
      </c>
      <c r="D128" s="73">
        <v>1216000000</v>
      </c>
      <c r="E128" s="73">
        <v>231000</v>
      </c>
      <c r="F128" s="74"/>
      <c r="G128" s="74"/>
      <c r="H128" s="74"/>
      <c r="I128" s="74"/>
      <c r="J128" s="74"/>
      <c r="K128" s="73"/>
      <c r="L128" s="133"/>
      <c r="M128" s="133"/>
      <c r="O128" s="72">
        <v>278831541.16902226</v>
      </c>
      <c r="P128" s="73">
        <v>949000000</v>
      </c>
      <c r="Q128" s="73">
        <v>206000</v>
      </c>
      <c r="R128" s="74"/>
      <c r="S128" s="74"/>
      <c r="T128" s="74"/>
      <c r="U128" s="74"/>
      <c r="V128" s="74"/>
      <c r="W128" s="73"/>
      <c r="X128" s="133"/>
      <c r="Y128" s="133"/>
    </row>
    <row r="129" spans="1:25" x14ac:dyDescent="0.2">
      <c r="A129" s="75"/>
      <c r="B129" s="75" t="s">
        <v>190</v>
      </c>
      <c r="C129" s="76">
        <f>C127-C128</f>
        <v>0</v>
      </c>
      <c r="D129" s="77">
        <f>D127-D128</f>
        <v>184042666.76816559</v>
      </c>
      <c r="E129" s="77">
        <f>E127-E128</f>
        <v>48649.534349077614</v>
      </c>
      <c r="F129" s="78"/>
      <c r="G129" s="78"/>
      <c r="H129" s="78"/>
      <c r="I129" s="78"/>
      <c r="J129" s="78"/>
      <c r="K129" s="77"/>
      <c r="L129" s="134"/>
      <c r="M129" s="134"/>
      <c r="O129" s="76">
        <f>O127-O128</f>
        <v>-41110065.179523498</v>
      </c>
      <c r="P129" s="77">
        <f>P127-P128</f>
        <v>-30140233.239506245</v>
      </c>
      <c r="Q129" s="77">
        <f>Q127-Q128</f>
        <v>18541.428692787187</v>
      </c>
      <c r="R129" s="78"/>
      <c r="S129" s="78"/>
      <c r="T129" s="78"/>
      <c r="U129" s="78"/>
      <c r="V129" s="78"/>
      <c r="W129" s="77"/>
      <c r="X129" s="134"/>
      <c r="Y129" s="134"/>
    </row>
    <row r="130" spans="1:25" ht="21" x14ac:dyDescent="0.25">
      <c r="B130" s="46" t="s">
        <v>191</v>
      </c>
      <c r="H130" s="79"/>
      <c r="I130" s="79"/>
      <c r="J130" s="79"/>
      <c r="T130" s="79"/>
      <c r="U130" s="79"/>
      <c r="V130" s="79"/>
    </row>
    <row r="131" spans="1:25" ht="29" x14ac:dyDescent="0.35">
      <c r="B131" s="46" t="s">
        <v>185</v>
      </c>
      <c r="H131" s="79"/>
      <c r="I131" s="142"/>
      <c r="T131" s="79"/>
      <c r="U131" s="142"/>
    </row>
    <row r="132" spans="1:25" ht="21" x14ac:dyDescent="0.25">
      <c r="B132" s="46" t="s">
        <v>196</v>
      </c>
    </row>
    <row r="133" spans="1:25" ht="21" x14ac:dyDescent="0.25">
      <c r="B133" s="46" t="s">
        <v>205</v>
      </c>
    </row>
    <row r="134" spans="1:25" x14ac:dyDescent="0.25">
      <c r="C134" s="136"/>
      <c r="D134" s="136"/>
      <c r="O134" s="136"/>
      <c r="P134" s="136"/>
    </row>
    <row r="135" spans="1:25" x14ac:dyDescent="0.25">
      <c r="D135" s="136"/>
      <c r="P135" s="136"/>
    </row>
  </sheetData>
  <autoFilter ref="A5:Y5"/>
  <mergeCells count="15">
    <mergeCell ref="P57:Q57"/>
    <mergeCell ref="D57:E57"/>
    <mergeCell ref="A1:M3"/>
    <mergeCell ref="C4:K4"/>
    <mergeCell ref="D6:E6"/>
    <mergeCell ref="D19:E19"/>
    <mergeCell ref="D23:E23"/>
    <mergeCell ref="D34:E34"/>
    <mergeCell ref="O4:W4"/>
    <mergeCell ref="P6:Q6"/>
    <mergeCell ref="P19:Q19"/>
    <mergeCell ref="P23:Q23"/>
    <mergeCell ref="P34:Q34"/>
    <mergeCell ref="B4:B5"/>
    <mergeCell ref="A4:A5"/>
  </mergeCells>
  <pageMargins left="0.7" right="0.7" top="0.75" bottom="0.75" header="0.3" footer="0.3"/>
  <pageSetup paperSize="17" scale="28" fitToHeight="2" orientation="landscape" r:id="rId1"/>
  <headerFoot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45"/>
  <sheetViews>
    <sheetView showGridLines="0" zoomScale="70" zoomScaleNormal="70" zoomScalePageLayoutView="70" workbookViewId="0">
      <pane xSplit="3" ySplit="6" topLeftCell="AG67" activePane="bottomRight" state="frozen"/>
      <selection activeCell="H15" sqref="H15"/>
      <selection pane="topRight" activeCell="H15" sqref="H15"/>
      <selection pane="bottomLeft" activeCell="H15" sqref="H15"/>
      <selection pane="bottomRight" activeCell="AG80" sqref="AG80"/>
    </sheetView>
  </sheetViews>
  <sheetFormatPr baseColWidth="10" defaultColWidth="12" defaultRowHeight="13" x14ac:dyDescent="0.15"/>
  <cols>
    <col min="1" max="1" width="12" style="201"/>
    <col min="2" max="2" width="21.83203125" style="201" customWidth="1"/>
    <col min="3" max="3" width="57.1640625" style="201" customWidth="1"/>
    <col min="4" max="6" width="17.1640625" style="201" customWidth="1"/>
    <col min="7" max="7" width="17.1640625" style="450" customWidth="1"/>
    <col min="8" max="10" width="17.1640625" style="201" customWidth="1"/>
    <col min="11" max="11" width="17.1640625" style="292" customWidth="1"/>
    <col min="12" max="12" width="17.1640625" style="454" customWidth="1"/>
    <col min="13" max="14" width="17.1640625" style="201" customWidth="1"/>
    <col min="15" max="16" width="17.1640625" style="292" customWidth="1"/>
    <col min="17" max="17" width="17.1640625" style="454" customWidth="1"/>
    <col min="18" max="19" width="17.1640625" style="201" customWidth="1"/>
    <col min="20" max="21" width="17.1640625" style="292" customWidth="1"/>
    <col min="22" max="22" width="17.1640625" style="454" customWidth="1"/>
    <col min="23" max="26" width="17.1640625" style="201" customWidth="1"/>
    <col min="27" max="27" width="17.1640625" style="450" customWidth="1"/>
    <col min="28" max="32" width="17.1640625" style="201" customWidth="1"/>
    <col min="33" max="33" width="17.1640625" style="450" customWidth="1"/>
    <col min="34" max="34" width="17.1640625" style="292" customWidth="1"/>
    <col min="35" max="38" width="17.5" style="201" customWidth="1"/>
    <col min="39" max="39" width="41" style="201" customWidth="1"/>
    <col min="40" max="16384" width="12" style="201"/>
  </cols>
  <sheetData>
    <row r="1" spans="2:39" x14ac:dyDescent="0.15">
      <c r="B1" s="199" t="s">
        <v>251</v>
      </c>
      <c r="C1" s="200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70"/>
      <c r="AI1" s="471"/>
      <c r="AJ1" s="471"/>
      <c r="AK1" s="471"/>
      <c r="AL1" s="471"/>
      <c r="AM1" s="472"/>
    </row>
    <row r="2" spans="2:39" x14ac:dyDescent="0.15">
      <c r="B2" s="199" t="s">
        <v>252</v>
      </c>
      <c r="C2" s="200"/>
      <c r="D2" s="473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70"/>
      <c r="AI2" s="471"/>
      <c r="AJ2" s="471"/>
      <c r="AK2" s="471"/>
      <c r="AL2" s="471"/>
      <c r="AM2" s="472"/>
    </row>
    <row r="3" spans="2:39" x14ac:dyDescent="0.15">
      <c r="B3" s="199"/>
      <c r="C3" s="200"/>
      <c r="D3" s="474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70"/>
      <c r="AI3" s="471"/>
      <c r="AJ3" s="471"/>
      <c r="AK3" s="471"/>
      <c r="AL3" s="471"/>
      <c r="AM3" s="472"/>
    </row>
    <row r="4" spans="2:39" ht="14" thickBot="1" x14ac:dyDescent="0.2">
      <c r="B4" s="202" t="s">
        <v>253</v>
      </c>
      <c r="C4" s="203"/>
      <c r="D4" s="650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70"/>
      <c r="AI4" s="471"/>
      <c r="AJ4" s="471"/>
      <c r="AK4" s="471"/>
      <c r="AL4" s="471"/>
      <c r="AM4" s="472"/>
    </row>
    <row r="5" spans="2:39" ht="14" thickBot="1" x14ac:dyDescent="0.2">
      <c r="B5" s="204"/>
      <c r="C5" s="203"/>
      <c r="D5" s="645" t="s">
        <v>254</v>
      </c>
      <c r="E5" s="646"/>
      <c r="F5" s="646"/>
      <c r="G5" s="647"/>
      <c r="H5" s="648"/>
      <c r="I5" s="645" t="s">
        <v>255</v>
      </c>
      <c r="J5" s="646"/>
      <c r="K5" s="646"/>
      <c r="L5" s="647"/>
      <c r="M5" s="648"/>
      <c r="N5" s="652" t="s">
        <v>256</v>
      </c>
      <c r="O5" s="653"/>
      <c r="P5" s="653"/>
      <c r="Q5" s="654"/>
      <c r="R5" s="655"/>
      <c r="S5" s="645" t="s">
        <v>257</v>
      </c>
      <c r="T5" s="646"/>
      <c r="U5" s="646"/>
      <c r="V5" s="647"/>
      <c r="W5" s="648"/>
      <c r="X5" s="645" t="s">
        <v>258</v>
      </c>
      <c r="Y5" s="646"/>
      <c r="Z5" s="646"/>
      <c r="AA5" s="647"/>
      <c r="AB5" s="648"/>
      <c r="AC5" s="645" t="s">
        <v>227</v>
      </c>
      <c r="AD5" s="646"/>
      <c r="AE5" s="646"/>
      <c r="AF5" s="646"/>
      <c r="AG5" s="647"/>
      <c r="AH5" s="648"/>
      <c r="AI5" s="649"/>
      <c r="AJ5" s="649"/>
      <c r="AK5" s="649"/>
      <c r="AL5" s="649"/>
      <c r="AM5" s="649"/>
    </row>
    <row r="6" spans="2:39" ht="27" thickBot="1" x14ac:dyDescent="0.2">
      <c r="B6" s="205" t="s">
        <v>259</v>
      </c>
      <c r="C6" s="206" t="s">
        <v>260</v>
      </c>
      <c r="D6" s="207" t="s">
        <v>261</v>
      </c>
      <c r="E6" s="538" t="s">
        <v>262</v>
      </c>
      <c r="F6" s="208" t="s">
        <v>263</v>
      </c>
      <c r="G6" s="553" t="s">
        <v>491</v>
      </c>
      <c r="H6" s="209" t="s">
        <v>264</v>
      </c>
      <c r="I6" s="207" t="s">
        <v>261</v>
      </c>
      <c r="J6" s="208" t="s">
        <v>262</v>
      </c>
      <c r="K6" s="208" t="s">
        <v>263</v>
      </c>
      <c r="L6" s="445" t="s">
        <v>491</v>
      </c>
      <c r="M6" s="209" t="s">
        <v>264</v>
      </c>
      <c r="N6" s="207" t="s">
        <v>261</v>
      </c>
      <c r="O6" s="208" t="s">
        <v>262</v>
      </c>
      <c r="P6" s="208" t="s">
        <v>263</v>
      </c>
      <c r="Q6" s="445" t="s">
        <v>491</v>
      </c>
      <c r="R6" s="209" t="s">
        <v>264</v>
      </c>
      <c r="S6" s="207" t="s">
        <v>261</v>
      </c>
      <c r="T6" s="208" t="s">
        <v>262</v>
      </c>
      <c r="U6" s="208" t="s">
        <v>263</v>
      </c>
      <c r="V6" s="445" t="s">
        <v>491</v>
      </c>
      <c r="W6" s="209" t="s">
        <v>264</v>
      </c>
      <c r="X6" s="207" t="s">
        <v>261</v>
      </c>
      <c r="Y6" s="208" t="s">
        <v>262</v>
      </c>
      <c r="Z6" s="208" t="s">
        <v>263</v>
      </c>
      <c r="AA6" s="445" t="s">
        <v>491</v>
      </c>
      <c r="AB6" s="209" t="s">
        <v>264</v>
      </c>
      <c r="AC6" s="207" t="s">
        <v>261</v>
      </c>
      <c r="AD6" s="208" t="s">
        <v>265</v>
      </c>
      <c r="AE6" s="208" t="s">
        <v>262</v>
      </c>
      <c r="AF6" s="208" t="s">
        <v>263</v>
      </c>
      <c r="AG6" s="445" t="s">
        <v>491</v>
      </c>
      <c r="AH6" s="209" t="s">
        <v>264</v>
      </c>
      <c r="AI6" s="210" t="s">
        <v>266</v>
      </c>
      <c r="AJ6" s="211" t="s">
        <v>267</v>
      </c>
      <c r="AK6" s="211" t="s">
        <v>268</v>
      </c>
      <c r="AL6" s="211" t="s">
        <v>269</v>
      </c>
      <c r="AM6" s="212" t="s">
        <v>270</v>
      </c>
    </row>
    <row r="7" spans="2:39" ht="13.5" customHeight="1" x14ac:dyDescent="0.15">
      <c r="B7" s="213" t="s">
        <v>271</v>
      </c>
      <c r="C7" s="214" t="s">
        <v>272</v>
      </c>
      <c r="D7" s="215">
        <f t="shared" ref="D7" si="0">SUM(D8:D14)</f>
        <v>2448571.7400000002</v>
      </c>
      <c r="E7" s="539">
        <f t="shared" ref="E7" si="1">SUM(E8:E14)</f>
        <v>2097102</v>
      </c>
      <c r="F7" s="215">
        <f t="shared" ref="F7" si="2">SUM(F8:F14)</f>
        <v>2448571.7400000002</v>
      </c>
      <c r="G7" s="539">
        <f t="shared" ref="G7" si="3">SUM(G8:G14)</f>
        <v>2199964</v>
      </c>
      <c r="H7" s="215">
        <f t="shared" ref="H7" si="4">SUM(H8:H14)</f>
        <v>2266659</v>
      </c>
      <c r="I7" s="215">
        <f t="shared" ref="I7" si="5">SUM(I8:I14)</f>
        <v>3673558.33</v>
      </c>
      <c r="J7" s="215">
        <f t="shared" ref="J7" si="6">SUM(J8:J14)</f>
        <v>2914130</v>
      </c>
      <c r="K7" s="215">
        <f t="shared" ref="K7" si="7">SUM(K8:K14)</f>
        <v>3673558.33</v>
      </c>
      <c r="L7" s="215">
        <f t="shared" ref="L7" si="8">SUM(L8:L14)</f>
        <v>1845242</v>
      </c>
      <c r="M7" s="215">
        <f t="shared" ref="M7" si="9">SUM(M8:M14)</f>
        <v>1968617</v>
      </c>
      <c r="N7" s="215">
        <f t="shared" ref="N7" si="10">SUM(N8:N14)</f>
        <v>13341789</v>
      </c>
      <c r="O7" s="215">
        <f t="shared" ref="O7" si="11">SUM(O8:O14)</f>
        <v>15782438</v>
      </c>
      <c r="P7" s="215">
        <f t="shared" ref="P7" si="12">SUM(P8:P14)</f>
        <v>13341789</v>
      </c>
      <c r="Q7" s="215">
        <f t="shared" ref="Q7" si="13">SUM(Q8:Q14)</f>
        <v>16472516</v>
      </c>
      <c r="R7" s="215">
        <f t="shared" ref="R7" si="14">SUM(R8:R14)</f>
        <v>13872095</v>
      </c>
      <c r="S7" s="215">
        <f t="shared" ref="S7" si="15">SUM(S8:S14)</f>
        <v>31063981.219999999</v>
      </c>
      <c r="T7" s="215">
        <f t="shared" ref="T7" si="16">SUM(T8:T14)</f>
        <v>32422020</v>
      </c>
      <c r="U7" s="215">
        <f t="shared" ref="U7" si="17">SUM(U8:U14)</f>
        <v>31063981.219999999</v>
      </c>
      <c r="V7" s="215">
        <f t="shared" ref="V7" si="18">SUM(V8:V14)</f>
        <v>20524550</v>
      </c>
      <c r="W7" s="215">
        <f t="shared" ref="W7" si="19">SUM(W8:W14)</f>
        <v>19215876</v>
      </c>
      <c r="X7" s="215">
        <f t="shared" ref="X7" si="20">SUM(X8:X14)</f>
        <v>44405770.219999999</v>
      </c>
      <c r="Y7" s="215">
        <f t="shared" ref="Y7" si="21">SUM(Y8:Y14)</f>
        <v>48204458</v>
      </c>
      <c r="Z7" s="215">
        <f t="shared" ref="Z7" si="22">SUM(Z8:Z14)</f>
        <v>44405770.219999999</v>
      </c>
      <c r="AA7" s="215">
        <f t="shared" ref="AA7" si="23">SUM(AA8:AA14)</f>
        <v>36997066</v>
      </c>
      <c r="AB7" s="215">
        <f t="shared" ref="AB7" si="24">SUM(AB8:AB14)</f>
        <v>33087971</v>
      </c>
      <c r="AC7" s="215">
        <f t="shared" ref="AC7" si="25">SUM(AC8:AC14)</f>
        <v>50527900.289999999</v>
      </c>
      <c r="AD7" s="215">
        <f t="shared" ref="AD7" si="26">SUM(AD8:AD14)</f>
        <v>49527900.289999999</v>
      </c>
      <c r="AE7" s="215">
        <f t="shared" ref="AE7" si="27">SUM(AE8:AE14)</f>
        <v>53215690</v>
      </c>
      <c r="AF7" s="215">
        <f t="shared" ref="AF7" si="28">SUM(AF8:AF14)</f>
        <v>50527900.289999999</v>
      </c>
      <c r="AG7" s="215">
        <f t="shared" ref="AG7" si="29">SUM(AG8:AG14)</f>
        <v>41042272</v>
      </c>
      <c r="AH7" s="215">
        <f t="shared" ref="AH7" si="30">SUM(AH8:AH14)</f>
        <v>37323247</v>
      </c>
      <c r="AI7" s="218" t="s">
        <v>273</v>
      </c>
      <c r="AJ7" s="219" t="s">
        <v>228</v>
      </c>
      <c r="AK7" s="220"/>
      <c r="AL7" s="220"/>
      <c r="AM7" s="221" t="s">
        <v>274</v>
      </c>
    </row>
    <row r="8" spans="2:39" ht="13.5" customHeight="1" x14ac:dyDescent="0.15">
      <c r="B8" s="430" t="s">
        <v>275</v>
      </c>
      <c r="C8" s="223" t="s">
        <v>1</v>
      </c>
      <c r="D8" s="224">
        <v>468975.74</v>
      </c>
      <c r="E8" s="540">
        <v>758108</v>
      </c>
      <c r="F8" s="226">
        <v>468975.74</v>
      </c>
      <c r="G8" s="554">
        <v>195291</v>
      </c>
      <c r="H8" s="227">
        <v>507345</v>
      </c>
      <c r="I8" s="224">
        <v>524426.32999999996</v>
      </c>
      <c r="J8" s="225">
        <v>426139</v>
      </c>
      <c r="K8" s="226">
        <v>524426.32999999996</v>
      </c>
      <c r="L8" s="226">
        <v>426796</v>
      </c>
      <c r="M8" s="227">
        <v>898478</v>
      </c>
      <c r="N8" s="224">
        <v>3097398</v>
      </c>
      <c r="O8" s="225">
        <v>6164348</v>
      </c>
      <c r="P8" s="226">
        <v>3097398</v>
      </c>
      <c r="Q8" s="226">
        <v>5700760</v>
      </c>
      <c r="R8" s="227">
        <v>8260324</v>
      </c>
      <c r="S8" s="224">
        <v>0</v>
      </c>
      <c r="T8" s="225">
        <v>0</v>
      </c>
      <c r="U8" s="226">
        <v>0</v>
      </c>
      <c r="V8" s="226">
        <v>0</v>
      </c>
      <c r="W8" s="227">
        <v>1000000</v>
      </c>
      <c r="X8" s="224">
        <f>+N8+S8</f>
        <v>3097398</v>
      </c>
      <c r="Y8" s="226">
        <f>+O8+T8</f>
        <v>6164348</v>
      </c>
      <c r="Z8" s="226">
        <f>+P8+U8</f>
        <v>3097398</v>
      </c>
      <c r="AA8" s="226">
        <f>+Q8+V8</f>
        <v>5700760</v>
      </c>
      <c r="AB8" s="227">
        <f t="shared" ref="AB8:AB14" si="31">+R8+W8</f>
        <v>9260324</v>
      </c>
      <c r="AC8" s="224">
        <f>+D8+I8+X8</f>
        <v>4090800.07</v>
      </c>
      <c r="AD8" s="226">
        <v>7690800.0700000003</v>
      </c>
      <c r="AE8" s="226">
        <f t="shared" ref="AE8:AG13" si="32">+E8+J8+Y8</f>
        <v>7348595</v>
      </c>
      <c r="AF8" s="226">
        <f t="shared" si="32"/>
        <v>4090800.07</v>
      </c>
      <c r="AG8" s="226">
        <f t="shared" si="32"/>
        <v>6322847</v>
      </c>
      <c r="AH8" s="227">
        <f>+H8+M8+AB8</f>
        <v>10666147</v>
      </c>
      <c r="AI8" s="228" t="s">
        <v>273</v>
      </c>
      <c r="AJ8" s="229" t="s">
        <v>228</v>
      </c>
      <c r="AK8" s="229" t="s">
        <v>276</v>
      </c>
      <c r="AL8" s="229" t="s">
        <v>277</v>
      </c>
      <c r="AM8" s="230" t="s">
        <v>278</v>
      </c>
    </row>
    <row r="9" spans="2:39" ht="13.5" customHeight="1" x14ac:dyDescent="0.15">
      <c r="B9" s="430" t="s">
        <v>279</v>
      </c>
      <c r="C9" s="223" t="s">
        <v>3</v>
      </c>
      <c r="D9" s="224">
        <v>530637</v>
      </c>
      <c r="E9" s="540">
        <v>350184</v>
      </c>
      <c r="F9" s="226">
        <v>530637</v>
      </c>
      <c r="G9" s="554">
        <v>585532</v>
      </c>
      <c r="H9" s="227">
        <v>380232</v>
      </c>
      <c r="I9" s="224">
        <v>2037129</v>
      </c>
      <c r="J9" s="225">
        <v>1663085</v>
      </c>
      <c r="K9" s="226">
        <v>2037129</v>
      </c>
      <c r="L9" s="226">
        <v>1009167</v>
      </c>
      <c r="M9" s="227">
        <v>782370</v>
      </c>
      <c r="N9" s="224">
        <v>2207728</v>
      </c>
      <c r="O9" s="225">
        <v>1278194</v>
      </c>
      <c r="P9" s="226">
        <v>2207728</v>
      </c>
      <c r="Q9" s="226">
        <v>1777750</v>
      </c>
      <c r="R9" s="227">
        <v>1200892</v>
      </c>
      <c r="S9" s="224">
        <v>9179750</v>
      </c>
      <c r="T9" s="225">
        <v>11002645</v>
      </c>
      <c r="U9" s="226">
        <v>9179750</v>
      </c>
      <c r="V9" s="226">
        <v>3922150</v>
      </c>
      <c r="W9" s="227">
        <v>4581050</v>
      </c>
      <c r="X9" s="224">
        <f t="shared" ref="X9:X14" si="33">+N9+S9</f>
        <v>11387478</v>
      </c>
      <c r="Y9" s="226">
        <f t="shared" ref="Y9:AA13" si="34">+O9+T9</f>
        <v>12280839</v>
      </c>
      <c r="Z9" s="226">
        <f t="shared" si="34"/>
        <v>11387478</v>
      </c>
      <c r="AA9" s="226">
        <f t="shared" si="34"/>
        <v>5699900</v>
      </c>
      <c r="AB9" s="227">
        <f t="shared" si="31"/>
        <v>5781942</v>
      </c>
      <c r="AC9" s="224">
        <f t="shared" ref="AC9:AC95" si="35">+D9+I9+X9</f>
        <v>13955244</v>
      </c>
      <c r="AD9" s="226">
        <v>12804244</v>
      </c>
      <c r="AE9" s="226">
        <f t="shared" si="32"/>
        <v>14294108</v>
      </c>
      <c r="AF9" s="226">
        <f t="shared" si="32"/>
        <v>13955244</v>
      </c>
      <c r="AG9" s="226">
        <f t="shared" si="32"/>
        <v>7294599</v>
      </c>
      <c r="AH9" s="227">
        <f t="shared" ref="AH9:AH14" si="36">+H9+M9+AB9</f>
        <v>6944544</v>
      </c>
      <c r="AI9" s="228" t="s">
        <v>273</v>
      </c>
      <c r="AJ9" s="229" t="s">
        <v>228</v>
      </c>
      <c r="AK9" s="229" t="s">
        <v>276</v>
      </c>
      <c r="AL9" s="229" t="s">
        <v>280</v>
      </c>
      <c r="AM9" s="230" t="s">
        <v>281</v>
      </c>
    </row>
    <row r="10" spans="2:39" ht="13.5" customHeight="1" x14ac:dyDescent="0.15">
      <c r="B10" s="430" t="s">
        <v>282</v>
      </c>
      <c r="C10" s="223" t="s">
        <v>2</v>
      </c>
      <c r="D10" s="224">
        <v>358022</v>
      </c>
      <c r="E10" s="540">
        <v>286980</v>
      </c>
      <c r="F10" s="226">
        <v>358022</v>
      </c>
      <c r="G10" s="554">
        <v>498299</v>
      </c>
      <c r="H10" s="227">
        <v>473369</v>
      </c>
      <c r="I10" s="224">
        <v>255728</v>
      </c>
      <c r="J10" s="225">
        <v>135025</v>
      </c>
      <c r="K10" s="226">
        <v>255728</v>
      </c>
      <c r="L10" s="226">
        <v>135894</v>
      </c>
      <c r="M10" s="227">
        <v>139983</v>
      </c>
      <c r="N10" s="224">
        <v>1310588</v>
      </c>
      <c r="O10" s="225">
        <v>1436711</v>
      </c>
      <c r="P10" s="226">
        <v>1310588</v>
      </c>
      <c r="Q10" s="226">
        <v>1399564</v>
      </c>
      <c r="R10" s="227">
        <v>1312775</v>
      </c>
      <c r="S10" s="224">
        <v>9176313</v>
      </c>
      <c r="T10" s="225">
        <v>11053756</v>
      </c>
      <c r="U10" s="226">
        <v>9176313</v>
      </c>
      <c r="V10" s="226">
        <v>8627149</v>
      </c>
      <c r="W10" s="227">
        <v>7138749</v>
      </c>
      <c r="X10" s="224">
        <f t="shared" si="33"/>
        <v>10486901</v>
      </c>
      <c r="Y10" s="226">
        <f t="shared" si="34"/>
        <v>12490467</v>
      </c>
      <c r="Z10" s="226">
        <f t="shared" si="34"/>
        <v>10486901</v>
      </c>
      <c r="AA10" s="226">
        <f t="shared" si="34"/>
        <v>10026713</v>
      </c>
      <c r="AB10" s="227">
        <f t="shared" si="31"/>
        <v>8451524</v>
      </c>
      <c r="AC10" s="224">
        <f t="shared" si="35"/>
        <v>11100651</v>
      </c>
      <c r="AD10" s="226">
        <v>10800651</v>
      </c>
      <c r="AE10" s="226">
        <f t="shared" si="32"/>
        <v>12912472</v>
      </c>
      <c r="AF10" s="226">
        <f t="shared" si="32"/>
        <v>11100651</v>
      </c>
      <c r="AG10" s="226">
        <f t="shared" si="32"/>
        <v>10660906</v>
      </c>
      <c r="AH10" s="227">
        <f t="shared" si="36"/>
        <v>9064876</v>
      </c>
      <c r="AI10" s="228" t="s">
        <v>283</v>
      </c>
      <c r="AJ10" s="229" t="s">
        <v>228</v>
      </c>
      <c r="AK10" s="229" t="s">
        <v>276</v>
      </c>
      <c r="AL10" s="229" t="s">
        <v>277</v>
      </c>
      <c r="AM10" s="230" t="s">
        <v>284</v>
      </c>
    </row>
    <row r="11" spans="2:39" ht="13.5" customHeight="1" x14ac:dyDescent="0.15">
      <c r="B11" s="430" t="s">
        <v>285</v>
      </c>
      <c r="C11" s="223" t="s">
        <v>8</v>
      </c>
      <c r="D11" s="224">
        <v>458530</v>
      </c>
      <c r="E11" s="540">
        <v>273467</v>
      </c>
      <c r="F11" s="226">
        <v>458530</v>
      </c>
      <c r="G11" s="554">
        <v>500719</v>
      </c>
      <c r="H11" s="227">
        <v>314887</v>
      </c>
      <c r="I11" s="224">
        <v>230202</v>
      </c>
      <c r="J11" s="225">
        <v>218916</v>
      </c>
      <c r="K11" s="226">
        <v>230202</v>
      </c>
      <c r="L11" s="226">
        <v>218916</v>
      </c>
      <c r="M11" s="227">
        <v>54513</v>
      </c>
      <c r="N11" s="224">
        <v>3923359</v>
      </c>
      <c r="O11" s="225">
        <v>3599738</v>
      </c>
      <c r="P11" s="226">
        <v>3923359</v>
      </c>
      <c r="Q11" s="226">
        <v>5139173</v>
      </c>
      <c r="R11" s="227">
        <v>2640172</v>
      </c>
      <c r="S11" s="231">
        <v>7383694</v>
      </c>
      <c r="T11" s="225">
        <v>3448107</v>
      </c>
      <c r="U11" s="232">
        <v>7383694</v>
      </c>
      <c r="V11" s="226">
        <v>4781140</v>
      </c>
      <c r="W11" s="233">
        <v>3054203</v>
      </c>
      <c r="X11" s="224">
        <f t="shared" si="33"/>
        <v>11307053</v>
      </c>
      <c r="Y11" s="226">
        <f t="shared" si="34"/>
        <v>7047845</v>
      </c>
      <c r="Z11" s="226">
        <f t="shared" si="34"/>
        <v>11307053</v>
      </c>
      <c r="AA11" s="226">
        <f t="shared" si="34"/>
        <v>9920313</v>
      </c>
      <c r="AB11" s="227">
        <f t="shared" si="31"/>
        <v>5694375</v>
      </c>
      <c r="AC11" s="224">
        <f t="shared" si="35"/>
        <v>11995785</v>
      </c>
      <c r="AD11" s="226">
        <v>8846785</v>
      </c>
      <c r="AE11" s="226">
        <f t="shared" si="32"/>
        <v>7540228</v>
      </c>
      <c r="AF11" s="226">
        <f t="shared" si="32"/>
        <v>11995785</v>
      </c>
      <c r="AG11" s="226">
        <f t="shared" si="32"/>
        <v>10639948</v>
      </c>
      <c r="AH11" s="227">
        <f t="shared" si="36"/>
        <v>6063775</v>
      </c>
      <c r="AI11" s="228" t="s">
        <v>273</v>
      </c>
      <c r="AJ11" s="229" t="s">
        <v>228</v>
      </c>
      <c r="AK11" s="229" t="s">
        <v>276</v>
      </c>
      <c r="AL11" s="229" t="s">
        <v>277</v>
      </c>
      <c r="AM11" s="230" t="s">
        <v>286</v>
      </c>
    </row>
    <row r="12" spans="2:39" ht="13.5" customHeight="1" x14ac:dyDescent="0.15">
      <c r="B12" s="430" t="s">
        <v>287</v>
      </c>
      <c r="C12" s="223" t="s">
        <v>9</v>
      </c>
      <c r="D12" s="224">
        <v>191869</v>
      </c>
      <c r="E12" s="540">
        <v>166605</v>
      </c>
      <c r="F12" s="226">
        <v>191869</v>
      </c>
      <c r="G12" s="554">
        <v>219579</v>
      </c>
      <c r="H12" s="227">
        <v>0</v>
      </c>
      <c r="I12" s="224">
        <v>217790</v>
      </c>
      <c r="J12" s="225">
        <v>54469</v>
      </c>
      <c r="K12" s="226">
        <v>217790</v>
      </c>
      <c r="L12" s="226">
        <v>54469</v>
      </c>
      <c r="M12" s="227">
        <v>0</v>
      </c>
      <c r="N12" s="224">
        <v>2044530</v>
      </c>
      <c r="O12" s="225">
        <v>2039570</v>
      </c>
      <c r="P12" s="226">
        <v>2044530</v>
      </c>
      <c r="Q12" s="226">
        <v>1554347</v>
      </c>
      <c r="R12" s="227">
        <v>0</v>
      </c>
      <c r="S12" s="231">
        <v>2680002</v>
      </c>
      <c r="T12" s="225">
        <v>1976978</v>
      </c>
      <c r="U12" s="232">
        <v>2680002</v>
      </c>
      <c r="V12" s="226">
        <v>549881</v>
      </c>
      <c r="W12" s="233">
        <v>0</v>
      </c>
      <c r="X12" s="224">
        <f t="shared" si="33"/>
        <v>4724532</v>
      </c>
      <c r="Y12" s="226">
        <f t="shared" si="34"/>
        <v>4016548</v>
      </c>
      <c r="Z12" s="226">
        <f t="shared" si="34"/>
        <v>4724532</v>
      </c>
      <c r="AA12" s="226">
        <f t="shared" si="34"/>
        <v>2104228</v>
      </c>
      <c r="AB12" s="227">
        <f t="shared" si="31"/>
        <v>0</v>
      </c>
      <c r="AC12" s="224">
        <f t="shared" si="35"/>
        <v>5134191</v>
      </c>
      <c r="AD12" s="226">
        <v>5134191</v>
      </c>
      <c r="AE12" s="226">
        <f t="shared" si="32"/>
        <v>4237622</v>
      </c>
      <c r="AF12" s="226">
        <f t="shared" si="32"/>
        <v>5134191</v>
      </c>
      <c r="AG12" s="226">
        <f t="shared" si="32"/>
        <v>2378276</v>
      </c>
      <c r="AH12" s="227">
        <f t="shared" si="36"/>
        <v>0</v>
      </c>
      <c r="AI12" s="228" t="s">
        <v>273</v>
      </c>
      <c r="AJ12" s="229" t="s">
        <v>228</v>
      </c>
      <c r="AK12" s="229" t="s">
        <v>276</v>
      </c>
      <c r="AL12" s="229" t="s">
        <v>288</v>
      </c>
      <c r="AM12" s="230" t="s">
        <v>289</v>
      </c>
    </row>
    <row r="13" spans="2:39" ht="13.5" customHeight="1" x14ac:dyDescent="0.15">
      <c r="B13" s="430" t="s">
        <v>290</v>
      </c>
      <c r="C13" s="223" t="s">
        <v>7</v>
      </c>
      <c r="D13" s="224">
        <v>440538</v>
      </c>
      <c r="E13" s="540">
        <v>261758</v>
      </c>
      <c r="F13" s="226">
        <v>440538</v>
      </c>
      <c r="G13" s="554">
        <v>200544</v>
      </c>
      <c r="H13" s="227">
        <v>350000</v>
      </c>
      <c r="I13" s="224">
        <v>408283</v>
      </c>
      <c r="J13" s="225">
        <v>416496</v>
      </c>
      <c r="K13" s="226">
        <v>408283</v>
      </c>
      <c r="L13" s="226">
        <v>0</v>
      </c>
      <c r="M13" s="227">
        <v>0</v>
      </c>
      <c r="N13" s="224">
        <v>758186</v>
      </c>
      <c r="O13" s="225">
        <v>1263877</v>
      </c>
      <c r="P13" s="226">
        <v>758186</v>
      </c>
      <c r="Q13" s="226">
        <v>900922</v>
      </c>
      <c r="R13" s="227">
        <v>0</v>
      </c>
      <c r="S13" s="231">
        <v>2644222.2200000002</v>
      </c>
      <c r="T13" s="225">
        <v>4940534</v>
      </c>
      <c r="U13" s="232">
        <v>2644222.2200000002</v>
      </c>
      <c r="V13" s="226">
        <v>2644230</v>
      </c>
      <c r="W13" s="233">
        <v>0</v>
      </c>
      <c r="X13" s="224">
        <f t="shared" si="33"/>
        <v>3402408.22</v>
      </c>
      <c r="Y13" s="226">
        <f t="shared" si="34"/>
        <v>6204411</v>
      </c>
      <c r="Z13" s="226">
        <f t="shared" si="34"/>
        <v>3402408.22</v>
      </c>
      <c r="AA13" s="226">
        <f t="shared" si="34"/>
        <v>3545152</v>
      </c>
      <c r="AB13" s="227">
        <f t="shared" si="31"/>
        <v>0</v>
      </c>
      <c r="AC13" s="224">
        <f t="shared" si="35"/>
        <v>4251229.2200000007</v>
      </c>
      <c r="AD13" s="226">
        <v>4251229.2200000007</v>
      </c>
      <c r="AE13" s="226">
        <f t="shared" si="32"/>
        <v>6882665</v>
      </c>
      <c r="AF13" s="226">
        <f t="shared" si="32"/>
        <v>4251229.2200000007</v>
      </c>
      <c r="AG13" s="226">
        <f t="shared" si="32"/>
        <v>3745696</v>
      </c>
      <c r="AH13" s="227">
        <f t="shared" si="36"/>
        <v>350000</v>
      </c>
      <c r="AI13" s="228" t="s">
        <v>283</v>
      </c>
      <c r="AJ13" s="229" t="s">
        <v>228</v>
      </c>
      <c r="AK13" s="229" t="s">
        <v>291</v>
      </c>
      <c r="AL13" s="229" t="s">
        <v>280</v>
      </c>
      <c r="AM13" s="230" t="s">
        <v>292</v>
      </c>
    </row>
    <row r="14" spans="2:39" ht="13.5" customHeight="1" x14ac:dyDescent="0.15">
      <c r="B14" s="430" t="s">
        <v>293</v>
      </c>
      <c r="C14" s="234" t="s">
        <v>199</v>
      </c>
      <c r="D14" s="235">
        <v>0</v>
      </c>
      <c r="E14" s="540">
        <v>0</v>
      </c>
      <c r="F14" s="226">
        <v>0</v>
      </c>
      <c r="G14" s="554">
        <v>0</v>
      </c>
      <c r="H14" s="227">
        <v>240826</v>
      </c>
      <c r="I14" s="235">
        <v>0</v>
      </c>
      <c r="J14" s="225">
        <v>0</v>
      </c>
      <c r="K14" s="226">
        <v>0</v>
      </c>
      <c r="L14" s="226">
        <v>0</v>
      </c>
      <c r="M14" s="227">
        <v>93273</v>
      </c>
      <c r="N14" s="235">
        <v>0</v>
      </c>
      <c r="O14" s="225">
        <v>0</v>
      </c>
      <c r="P14" s="226">
        <v>0</v>
      </c>
      <c r="Q14" s="226">
        <v>0</v>
      </c>
      <c r="R14" s="227">
        <v>457932</v>
      </c>
      <c r="S14" s="235">
        <v>0</v>
      </c>
      <c r="T14" s="225">
        <v>0</v>
      </c>
      <c r="U14" s="232">
        <v>0</v>
      </c>
      <c r="V14" s="226">
        <v>0</v>
      </c>
      <c r="W14" s="233">
        <v>3441874</v>
      </c>
      <c r="X14" s="224">
        <f t="shared" si="33"/>
        <v>0</v>
      </c>
      <c r="Y14" s="226">
        <v>0</v>
      </c>
      <c r="Z14" s="226">
        <f>+P14+U14</f>
        <v>0</v>
      </c>
      <c r="AA14" s="226">
        <f>+Q14+V14</f>
        <v>0</v>
      </c>
      <c r="AB14" s="227">
        <f t="shared" si="31"/>
        <v>3899806</v>
      </c>
      <c r="AC14" s="224">
        <f t="shared" si="35"/>
        <v>0</v>
      </c>
      <c r="AD14" s="226">
        <v>0</v>
      </c>
      <c r="AE14" s="226">
        <v>0</v>
      </c>
      <c r="AF14" s="226">
        <v>0</v>
      </c>
      <c r="AG14" s="226">
        <v>0</v>
      </c>
      <c r="AH14" s="227">
        <f t="shared" si="36"/>
        <v>4233905</v>
      </c>
      <c r="AI14" s="228" t="s">
        <v>273</v>
      </c>
      <c r="AJ14" s="229" t="s">
        <v>228</v>
      </c>
      <c r="AK14" s="229" t="s">
        <v>276</v>
      </c>
      <c r="AL14" s="229" t="s">
        <v>294</v>
      </c>
      <c r="AM14" s="229" t="s">
        <v>295</v>
      </c>
    </row>
    <row r="15" spans="2:39" ht="13.5" customHeight="1" x14ac:dyDescent="0.15">
      <c r="B15" s="236" t="s">
        <v>328</v>
      </c>
      <c r="C15" s="237" t="s">
        <v>329</v>
      </c>
      <c r="D15" s="215">
        <f t="shared" ref="D15" si="37">SUM(D16:D18)</f>
        <v>981053</v>
      </c>
      <c r="E15" s="539">
        <f t="shared" ref="E15" si="38">SUM(E16:E18)</f>
        <v>363955</v>
      </c>
      <c r="F15" s="215">
        <f t="shared" ref="F15" si="39">SUM(F16:F18)</f>
        <v>981053</v>
      </c>
      <c r="G15" s="539">
        <f t="shared" ref="G15" si="40">SUM(G16:G18)</f>
        <v>1478024</v>
      </c>
      <c r="H15" s="215">
        <f t="shared" ref="H15" si="41">SUM(H16:H18)</f>
        <v>2354739</v>
      </c>
      <c r="I15" s="215">
        <f t="shared" ref="I15" si="42">SUM(I16:I18)</f>
        <v>360375</v>
      </c>
      <c r="J15" s="215">
        <f t="shared" ref="J15" si="43">SUM(J16:J18)</f>
        <v>44306</v>
      </c>
      <c r="K15" s="215">
        <f t="shared" ref="K15" si="44">SUM(K16:K18)</f>
        <v>360375</v>
      </c>
      <c r="L15" s="215">
        <f t="shared" ref="L15" si="45">SUM(L16:L18)</f>
        <v>161900</v>
      </c>
      <c r="M15" s="215">
        <f t="shared" ref="M15" si="46">SUM(M16:M18)</f>
        <v>0</v>
      </c>
      <c r="N15" s="215">
        <f t="shared" ref="N15" si="47">SUM(N16:N18)</f>
        <v>5502958</v>
      </c>
      <c r="O15" s="215">
        <f t="shared" ref="O15" si="48">SUM(O16:O18)</f>
        <v>1419711</v>
      </c>
      <c r="P15" s="215">
        <f t="shared" ref="P15" si="49">SUM(P16:P18)</f>
        <v>5502958</v>
      </c>
      <c r="Q15" s="215">
        <f t="shared" ref="Q15" si="50">SUM(Q16:Q18)</f>
        <v>3617604</v>
      </c>
      <c r="R15" s="215">
        <f t="shared" ref="R15" si="51">SUM(R16:R18)</f>
        <v>1930782</v>
      </c>
      <c r="S15" s="215">
        <f t="shared" ref="S15" si="52">SUM(S16:S18)</f>
        <v>28409853</v>
      </c>
      <c r="T15" s="215">
        <f t="shared" ref="T15" si="53">SUM(T16:T18)</f>
        <v>30900748</v>
      </c>
      <c r="U15" s="215">
        <f t="shared" ref="U15" si="54">SUM(U16:U18)</f>
        <v>28409853</v>
      </c>
      <c r="V15" s="215">
        <f t="shared" ref="V15" si="55">SUM(V16:V18)</f>
        <v>44284691</v>
      </c>
      <c r="W15" s="215">
        <f t="shared" ref="W15" si="56">SUM(W16:W18)</f>
        <v>47038741</v>
      </c>
      <c r="X15" s="215">
        <f t="shared" ref="X15" si="57">SUM(X16:X18)</f>
        <v>33912811</v>
      </c>
      <c r="Y15" s="215">
        <f t="shared" ref="Y15" si="58">SUM(Y16:Y18)</f>
        <v>32320459</v>
      </c>
      <c r="Z15" s="215">
        <f t="shared" ref="Z15" si="59">SUM(Z16:Z18)</f>
        <v>33912811</v>
      </c>
      <c r="AA15" s="215">
        <f t="shared" ref="AA15" si="60">SUM(AA16:AA18)</f>
        <v>47902295</v>
      </c>
      <c r="AB15" s="215">
        <f t="shared" ref="AB15" si="61">SUM(AB16:AB18)</f>
        <v>48969523</v>
      </c>
      <c r="AC15" s="215">
        <f t="shared" ref="AC15" si="62">SUM(AC16:AC18)</f>
        <v>35254239</v>
      </c>
      <c r="AD15" s="215">
        <f t="shared" ref="AD15" si="63">SUM(AD16:AD18)</f>
        <v>36409560</v>
      </c>
      <c r="AE15" s="215">
        <f t="shared" ref="AE15" si="64">SUM(AE16:AE18)</f>
        <v>32728720</v>
      </c>
      <c r="AF15" s="215">
        <f t="shared" ref="AF15" si="65">SUM(AF16:AF18)</f>
        <v>35254239</v>
      </c>
      <c r="AG15" s="215">
        <f t="shared" ref="AG15" si="66">SUM(AG16:AG18)</f>
        <v>49542219</v>
      </c>
      <c r="AH15" s="215">
        <f t="shared" ref="AH15" si="67">SUM(AH16:AH18)</f>
        <v>51324262</v>
      </c>
      <c r="AI15" s="238" t="s">
        <v>330</v>
      </c>
      <c r="AJ15" s="239" t="s">
        <v>331</v>
      </c>
      <c r="AK15" s="239"/>
      <c r="AL15" s="239"/>
      <c r="AM15" s="240" t="s">
        <v>313</v>
      </c>
    </row>
    <row r="16" spans="2:39" ht="13.5" customHeight="1" x14ac:dyDescent="0.15">
      <c r="B16" s="430" t="s">
        <v>332</v>
      </c>
      <c r="C16" s="223" t="s">
        <v>71</v>
      </c>
      <c r="D16" s="224">
        <v>49635</v>
      </c>
      <c r="E16" s="540">
        <v>31088</v>
      </c>
      <c r="F16" s="226">
        <v>49635</v>
      </c>
      <c r="G16" s="554">
        <v>19290</v>
      </c>
      <c r="H16" s="227">
        <v>93024</v>
      </c>
      <c r="I16" s="224">
        <v>0</v>
      </c>
      <c r="J16" s="225">
        <v>0</v>
      </c>
      <c r="K16" s="226">
        <v>0</v>
      </c>
      <c r="L16" s="226"/>
      <c r="M16" s="227">
        <v>0</v>
      </c>
      <c r="N16" s="224">
        <v>266610</v>
      </c>
      <c r="O16" s="225">
        <v>159315</v>
      </c>
      <c r="P16" s="226">
        <v>266610</v>
      </c>
      <c r="Q16" s="226">
        <v>181250</v>
      </c>
      <c r="R16" s="227">
        <v>0</v>
      </c>
      <c r="S16" s="224"/>
      <c r="T16" s="225">
        <v>0</v>
      </c>
      <c r="U16" s="226"/>
      <c r="V16" s="226"/>
      <c r="W16" s="227">
        <v>0</v>
      </c>
      <c r="X16" s="224">
        <f t="shared" ref="X16:AA18" si="68">+N16+S16</f>
        <v>266610</v>
      </c>
      <c r="Y16" s="226">
        <f t="shared" si="68"/>
        <v>159315</v>
      </c>
      <c r="Z16" s="226">
        <f t="shared" si="68"/>
        <v>266610</v>
      </c>
      <c r="AA16" s="226">
        <f t="shared" si="68"/>
        <v>181250</v>
      </c>
      <c r="AB16" s="227">
        <f t="shared" ref="AB16:AB18" si="69">+R16+W16</f>
        <v>0</v>
      </c>
      <c r="AC16" s="224">
        <f>+D16+I16+X16</f>
        <v>316245</v>
      </c>
      <c r="AD16" s="226">
        <v>316245</v>
      </c>
      <c r="AE16" s="226">
        <f t="shared" ref="AE16:AG18" si="70">+E16+J16+Y16</f>
        <v>190403</v>
      </c>
      <c r="AF16" s="226">
        <f t="shared" si="70"/>
        <v>316245</v>
      </c>
      <c r="AG16" s="226">
        <f t="shared" si="70"/>
        <v>200540</v>
      </c>
      <c r="AH16" s="227">
        <f t="shared" ref="AH16:AH18" si="71">+H16+M16+AB16</f>
        <v>93024</v>
      </c>
      <c r="AI16" s="228" t="s">
        <v>283</v>
      </c>
      <c r="AJ16" s="229" t="s">
        <v>331</v>
      </c>
      <c r="AK16" s="229" t="s">
        <v>291</v>
      </c>
      <c r="AL16" s="229" t="s">
        <v>277</v>
      </c>
      <c r="AM16" s="230" t="s">
        <v>313</v>
      </c>
    </row>
    <row r="17" spans="2:39" ht="13.5" customHeight="1" x14ac:dyDescent="0.15">
      <c r="B17" s="430" t="s">
        <v>333</v>
      </c>
      <c r="C17" s="223" t="s">
        <v>334</v>
      </c>
      <c r="D17" s="224">
        <v>608440</v>
      </c>
      <c r="E17" s="540">
        <v>99610</v>
      </c>
      <c r="F17" s="226">
        <v>608440</v>
      </c>
      <c r="G17" s="554">
        <f>109376+222066</f>
        <v>331442</v>
      </c>
      <c r="H17" s="227">
        <v>0</v>
      </c>
      <c r="I17" s="224">
        <v>164458</v>
      </c>
      <c r="J17" s="225">
        <v>15929</v>
      </c>
      <c r="K17" s="226">
        <v>164458</v>
      </c>
      <c r="L17" s="226">
        <f>53427+108473</f>
        <v>161900</v>
      </c>
      <c r="M17" s="227">
        <v>0</v>
      </c>
      <c r="N17" s="224">
        <v>3765540</v>
      </c>
      <c r="O17" s="225">
        <v>672539</v>
      </c>
      <c r="P17" s="226">
        <v>3765540</v>
      </c>
      <c r="Q17" s="226">
        <f>407746+1381566</f>
        <v>1789312</v>
      </c>
      <c r="R17" s="227">
        <v>0</v>
      </c>
      <c r="S17" s="224">
        <v>2274541</v>
      </c>
      <c r="T17" s="225">
        <v>27134</v>
      </c>
      <c r="U17" s="226">
        <v>2274541</v>
      </c>
      <c r="V17" s="226">
        <v>4025459</v>
      </c>
      <c r="W17" s="227">
        <v>0</v>
      </c>
      <c r="X17" s="224">
        <f t="shared" si="68"/>
        <v>6040081</v>
      </c>
      <c r="Y17" s="226">
        <f t="shared" si="68"/>
        <v>699673</v>
      </c>
      <c r="Z17" s="226">
        <f t="shared" si="68"/>
        <v>6040081</v>
      </c>
      <c r="AA17" s="226">
        <f t="shared" si="68"/>
        <v>5814771</v>
      </c>
      <c r="AB17" s="227">
        <f t="shared" si="69"/>
        <v>0</v>
      </c>
      <c r="AC17" s="224">
        <f>+D17+I17+X17</f>
        <v>6812979</v>
      </c>
      <c r="AD17" s="226">
        <v>3701979</v>
      </c>
      <c r="AE17" s="226">
        <f t="shared" si="70"/>
        <v>815212</v>
      </c>
      <c r="AF17" s="226">
        <f t="shared" si="70"/>
        <v>6812979</v>
      </c>
      <c r="AG17" s="226">
        <f t="shared" si="70"/>
        <v>6308113</v>
      </c>
      <c r="AH17" s="227">
        <f t="shared" si="71"/>
        <v>0</v>
      </c>
      <c r="AI17" s="228" t="s">
        <v>273</v>
      </c>
      <c r="AJ17" s="229" t="s">
        <v>331</v>
      </c>
      <c r="AK17" s="229" t="s">
        <v>276</v>
      </c>
      <c r="AL17" s="229" t="s">
        <v>288</v>
      </c>
      <c r="AM17" s="230" t="s">
        <v>313</v>
      </c>
    </row>
    <row r="18" spans="2:39" ht="13.5" customHeight="1" x14ac:dyDescent="0.15">
      <c r="B18" s="430" t="s">
        <v>335</v>
      </c>
      <c r="C18" s="223" t="s">
        <v>5</v>
      </c>
      <c r="D18" s="224">
        <v>322978</v>
      </c>
      <c r="E18" s="540">
        <v>233257</v>
      </c>
      <c r="F18" s="226">
        <v>322978</v>
      </c>
      <c r="G18" s="554">
        <v>1127292</v>
      </c>
      <c r="H18" s="227">
        <v>2261715</v>
      </c>
      <c r="I18" s="224">
        <v>195917</v>
      </c>
      <c r="J18" s="225">
        <v>28377</v>
      </c>
      <c r="K18" s="226">
        <v>195917</v>
      </c>
      <c r="L18" s="226">
        <v>0</v>
      </c>
      <c r="M18" s="227">
        <v>0</v>
      </c>
      <c r="N18" s="224">
        <v>1470808</v>
      </c>
      <c r="O18" s="225">
        <v>587857</v>
      </c>
      <c r="P18" s="226">
        <v>1470808</v>
      </c>
      <c r="Q18" s="226">
        <v>1647042</v>
      </c>
      <c r="R18" s="227">
        <v>1930782</v>
      </c>
      <c r="S18" s="224">
        <v>26135312</v>
      </c>
      <c r="T18" s="225">
        <v>30873614</v>
      </c>
      <c r="U18" s="226">
        <v>26135312</v>
      </c>
      <c r="V18" s="226">
        <v>40259232</v>
      </c>
      <c r="W18" s="227">
        <v>47038741</v>
      </c>
      <c r="X18" s="224">
        <f t="shared" si="68"/>
        <v>27606120</v>
      </c>
      <c r="Y18" s="226">
        <f t="shared" si="68"/>
        <v>31461471</v>
      </c>
      <c r="Z18" s="226">
        <f t="shared" si="68"/>
        <v>27606120</v>
      </c>
      <c r="AA18" s="226">
        <f t="shared" si="68"/>
        <v>41906274</v>
      </c>
      <c r="AB18" s="227">
        <f t="shared" si="69"/>
        <v>48969523</v>
      </c>
      <c r="AC18" s="224">
        <f>+D18+I18+X18</f>
        <v>28125015</v>
      </c>
      <c r="AD18" s="226">
        <v>32391336</v>
      </c>
      <c r="AE18" s="226">
        <f t="shared" si="70"/>
        <v>31723105</v>
      </c>
      <c r="AF18" s="226">
        <f t="shared" si="70"/>
        <v>28125015</v>
      </c>
      <c r="AG18" s="226">
        <f t="shared" si="70"/>
        <v>43033566</v>
      </c>
      <c r="AH18" s="227">
        <f t="shared" si="71"/>
        <v>51231238</v>
      </c>
      <c r="AI18" s="228" t="s">
        <v>273</v>
      </c>
      <c r="AJ18" s="229" t="s">
        <v>331</v>
      </c>
      <c r="AK18" s="229" t="s">
        <v>276</v>
      </c>
      <c r="AL18" s="229" t="s">
        <v>277</v>
      </c>
      <c r="AM18" s="230" t="s">
        <v>313</v>
      </c>
    </row>
    <row r="19" spans="2:39" ht="13.5" customHeight="1" x14ac:dyDescent="0.15">
      <c r="B19" s="250"/>
      <c r="C19" s="237" t="s">
        <v>411</v>
      </c>
      <c r="D19" s="215">
        <f>D20</f>
        <v>375641</v>
      </c>
      <c r="E19" s="539">
        <f t="shared" ref="E19:AH19" si="72">E20</f>
        <v>310834</v>
      </c>
      <c r="F19" s="215">
        <f t="shared" si="72"/>
        <v>375641</v>
      </c>
      <c r="G19" s="539">
        <f t="shared" si="72"/>
        <v>158450</v>
      </c>
      <c r="H19" s="215">
        <f t="shared" si="72"/>
        <v>257401</v>
      </c>
      <c r="I19" s="215">
        <f t="shared" si="72"/>
        <v>8200</v>
      </c>
      <c r="J19" s="215">
        <f t="shared" si="72"/>
        <v>74875</v>
      </c>
      <c r="K19" s="215">
        <f t="shared" si="72"/>
        <v>8200</v>
      </c>
      <c r="L19" s="215">
        <f t="shared" si="72"/>
        <v>8061</v>
      </c>
      <c r="M19" s="215">
        <f t="shared" si="72"/>
        <v>22982</v>
      </c>
      <c r="N19" s="215">
        <f t="shared" si="72"/>
        <v>230351</v>
      </c>
      <c r="O19" s="215">
        <f t="shared" si="72"/>
        <v>551809</v>
      </c>
      <c r="P19" s="215">
        <f t="shared" si="72"/>
        <v>230351</v>
      </c>
      <c r="Q19" s="215">
        <f t="shared" si="72"/>
        <v>250767</v>
      </c>
      <c r="R19" s="215">
        <f t="shared" si="72"/>
        <v>291659</v>
      </c>
      <c r="S19" s="215">
        <f t="shared" si="72"/>
        <v>2408247</v>
      </c>
      <c r="T19" s="215">
        <f t="shared" si="72"/>
        <v>5319059</v>
      </c>
      <c r="U19" s="215">
        <f t="shared" si="72"/>
        <v>2408247</v>
      </c>
      <c r="V19" s="215">
        <f t="shared" si="72"/>
        <v>3609775</v>
      </c>
      <c r="W19" s="215">
        <f t="shared" si="72"/>
        <v>4224699</v>
      </c>
      <c r="X19" s="215">
        <f t="shared" si="72"/>
        <v>2638598</v>
      </c>
      <c r="Y19" s="215">
        <f t="shared" si="72"/>
        <v>5870868</v>
      </c>
      <c r="Z19" s="215">
        <f t="shared" si="72"/>
        <v>2638598</v>
      </c>
      <c r="AA19" s="215">
        <f t="shared" si="72"/>
        <v>3860542</v>
      </c>
      <c r="AB19" s="215">
        <f t="shared" si="72"/>
        <v>4516358</v>
      </c>
      <c r="AC19" s="215">
        <f t="shared" si="72"/>
        <v>3022439</v>
      </c>
      <c r="AD19" s="215">
        <f t="shared" si="72"/>
        <v>4022439</v>
      </c>
      <c r="AE19" s="215">
        <f t="shared" si="72"/>
        <v>6256577</v>
      </c>
      <c r="AF19" s="215">
        <f t="shared" si="72"/>
        <v>3022439</v>
      </c>
      <c r="AG19" s="215">
        <f t="shared" si="72"/>
        <v>4027053</v>
      </c>
      <c r="AH19" s="215">
        <f t="shared" si="72"/>
        <v>4796741</v>
      </c>
      <c r="AI19" s="238"/>
      <c r="AJ19" s="239"/>
      <c r="AK19" s="249"/>
      <c r="AL19" s="249"/>
      <c r="AM19" s="240"/>
    </row>
    <row r="20" spans="2:39" ht="13.5" customHeight="1" x14ac:dyDescent="0.15">
      <c r="B20" s="433" t="s">
        <v>412</v>
      </c>
      <c r="C20" s="241" t="s">
        <v>4</v>
      </c>
      <c r="D20" s="224">
        <v>375641</v>
      </c>
      <c r="E20" s="541">
        <v>310834</v>
      </c>
      <c r="F20" s="232">
        <v>375641</v>
      </c>
      <c r="G20" s="541">
        <v>158450</v>
      </c>
      <c r="H20" s="233">
        <v>257401</v>
      </c>
      <c r="I20" s="224">
        <v>8200</v>
      </c>
      <c r="J20" s="232">
        <v>74875</v>
      </c>
      <c r="K20" s="232">
        <v>8200</v>
      </c>
      <c r="L20" s="232">
        <v>8061</v>
      </c>
      <c r="M20" s="233">
        <v>22982</v>
      </c>
      <c r="N20" s="224">
        <v>230351</v>
      </c>
      <c r="O20" s="232">
        <v>551809</v>
      </c>
      <c r="P20" s="232">
        <v>230351</v>
      </c>
      <c r="Q20" s="232">
        <v>250767</v>
      </c>
      <c r="R20" s="233">
        <v>291659</v>
      </c>
      <c r="S20" s="224">
        <v>2408247</v>
      </c>
      <c r="T20" s="232">
        <v>5319059</v>
      </c>
      <c r="U20" s="232">
        <v>2408247</v>
      </c>
      <c r="V20" s="232">
        <v>3609775</v>
      </c>
      <c r="W20" s="233">
        <v>4224699</v>
      </c>
      <c r="X20" s="224">
        <f>+N20+S20</f>
        <v>2638598</v>
      </c>
      <c r="Y20" s="226">
        <f>+O20+T20</f>
        <v>5870868</v>
      </c>
      <c r="Z20" s="226">
        <f>+P20+U20</f>
        <v>2638598</v>
      </c>
      <c r="AA20" s="226">
        <f>+Q20+V20</f>
        <v>3860542</v>
      </c>
      <c r="AB20" s="227">
        <f t="shared" ref="AB20" si="73">+R20+W20</f>
        <v>4516358</v>
      </c>
      <c r="AC20" s="224">
        <f t="shared" ref="AC20" si="74">+D20+I20+X20</f>
        <v>3022439</v>
      </c>
      <c r="AD20" s="226">
        <v>4022439</v>
      </c>
      <c r="AE20" s="226">
        <f>+E20+J20+Y20</f>
        <v>6256577</v>
      </c>
      <c r="AF20" s="226">
        <f>+F20+K20+Z20</f>
        <v>3022439</v>
      </c>
      <c r="AG20" s="226">
        <f>+G20+L20+AA20</f>
        <v>4027053</v>
      </c>
      <c r="AH20" s="227">
        <f>+H20+M20+AB20</f>
        <v>4796741</v>
      </c>
      <c r="AI20" s="252" t="s">
        <v>373</v>
      </c>
      <c r="AJ20" s="253" t="s">
        <v>228</v>
      </c>
      <c r="AK20" s="253" t="s">
        <v>276</v>
      </c>
      <c r="AL20" s="253" t="s">
        <v>277</v>
      </c>
      <c r="AM20" s="254" t="s">
        <v>413</v>
      </c>
    </row>
    <row r="21" spans="2:39" ht="13.5" customHeight="1" x14ac:dyDescent="0.15">
      <c r="B21" s="222"/>
      <c r="C21" s="237" t="s">
        <v>437</v>
      </c>
      <c r="D21" s="215">
        <f>SUM(D22)</f>
        <v>475299</v>
      </c>
      <c r="E21" s="539">
        <f t="shared" ref="E21:AH21" si="75">SUM(E22)</f>
        <v>145840</v>
      </c>
      <c r="F21" s="215">
        <f t="shared" si="75"/>
        <v>475299</v>
      </c>
      <c r="G21" s="539">
        <f t="shared" si="75"/>
        <v>71059</v>
      </c>
      <c r="H21" s="215">
        <f t="shared" si="75"/>
        <v>0</v>
      </c>
      <c r="I21" s="215">
        <f t="shared" si="75"/>
        <v>9697</v>
      </c>
      <c r="J21" s="215">
        <f t="shared" si="75"/>
        <v>704</v>
      </c>
      <c r="K21" s="215">
        <f t="shared" si="75"/>
        <v>9697</v>
      </c>
      <c r="L21" s="215">
        <f t="shared" si="75"/>
        <v>704</v>
      </c>
      <c r="M21" s="215">
        <f t="shared" si="75"/>
        <v>0</v>
      </c>
      <c r="N21" s="215">
        <f t="shared" si="75"/>
        <v>657719</v>
      </c>
      <c r="O21" s="215">
        <f t="shared" si="75"/>
        <v>801344</v>
      </c>
      <c r="P21" s="215">
        <f t="shared" si="75"/>
        <v>657719</v>
      </c>
      <c r="Q21" s="215">
        <f t="shared" si="75"/>
        <v>593423</v>
      </c>
      <c r="R21" s="215">
        <f t="shared" si="75"/>
        <v>0</v>
      </c>
      <c r="S21" s="215">
        <f t="shared" si="75"/>
        <v>0</v>
      </c>
      <c r="T21" s="215">
        <f t="shared" si="75"/>
        <v>-1453</v>
      </c>
      <c r="U21" s="215">
        <f t="shared" si="75"/>
        <v>0</v>
      </c>
      <c r="V21" s="215">
        <f t="shared" si="75"/>
        <v>0</v>
      </c>
      <c r="W21" s="215">
        <f t="shared" si="75"/>
        <v>0</v>
      </c>
      <c r="X21" s="215">
        <f t="shared" si="75"/>
        <v>657719</v>
      </c>
      <c r="Y21" s="215">
        <f t="shared" si="75"/>
        <v>799891</v>
      </c>
      <c r="Z21" s="215">
        <f t="shared" si="75"/>
        <v>657719</v>
      </c>
      <c r="AA21" s="215">
        <f t="shared" si="75"/>
        <v>593423</v>
      </c>
      <c r="AB21" s="215">
        <f t="shared" si="75"/>
        <v>0</v>
      </c>
      <c r="AC21" s="215">
        <f t="shared" si="75"/>
        <v>1142715</v>
      </c>
      <c r="AD21" s="215">
        <f t="shared" si="75"/>
        <v>1142715</v>
      </c>
      <c r="AE21" s="215">
        <f t="shared" si="75"/>
        <v>946435</v>
      </c>
      <c r="AF21" s="215">
        <f t="shared" si="75"/>
        <v>1142715</v>
      </c>
      <c r="AG21" s="215">
        <f t="shared" si="75"/>
        <v>665186</v>
      </c>
      <c r="AH21" s="215">
        <f t="shared" si="75"/>
        <v>0</v>
      </c>
      <c r="AI21" s="238"/>
      <c r="AJ21" s="239"/>
      <c r="AK21" s="249"/>
      <c r="AL21" s="249"/>
      <c r="AM21" s="240"/>
    </row>
    <row r="22" spans="2:39" ht="13.5" customHeight="1" x14ac:dyDescent="0.15">
      <c r="B22" s="433" t="s">
        <v>438</v>
      </c>
      <c r="C22" s="241" t="s">
        <v>87</v>
      </c>
      <c r="D22" s="224">
        <v>475299</v>
      </c>
      <c r="E22" s="541">
        <v>145840</v>
      </c>
      <c r="F22" s="232">
        <v>475299</v>
      </c>
      <c r="G22" s="541">
        <v>71059</v>
      </c>
      <c r="H22" s="233">
        <v>0</v>
      </c>
      <c r="I22" s="224">
        <v>9697</v>
      </c>
      <c r="J22" s="232">
        <v>704</v>
      </c>
      <c r="K22" s="232">
        <v>9697</v>
      </c>
      <c r="L22" s="232">
        <v>704</v>
      </c>
      <c r="M22" s="233">
        <v>0</v>
      </c>
      <c r="N22" s="224">
        <v>657719</v>
      </c>
      <c r="O22" s="232">
        <v>801344</v>
      </c>
      <c r="P22" s="232">
        <v>657719</v>
      </c>
      <c r="Q22" s="232">
        <v>593423</v>
      </c>
      <c r="R22" s="233">
        <v>0</v>
      </c>
      <c r="S22" s="224">
        <v>0</v>
      </c>
      <c r="T22" s="232">
        <v>-1453</v>
      </c>
      <c r="U22" s="232">
        <v>0</v>
      </c>
      <c r="V22" s="232"/>
      <c r="W22" s="233">
        <v>0</v>
      </c>
      <c r="X22" s="224">
        <f>+N22+S22</f>
        <v>657719</v>
      </c>
      <c r="Y22" s="226">
        <f>+O22+T22</f>
        <v>799891</v>
      </c>
      <c r="Z22" s="226">
        <f>+P22+U22</f>
        <v>657719</v>
      </c>
      <c r="AA22" s="226">
        <f>+Q22+V22</f>
        <v>593423</v>
      </c>
      <c r="AB22" s="227">
        <f>+R22+W22</f>
        <v>0</v>
      </c>
      <c r="AC22" s="224">
        <f>+D22+I22+X22</f>
        <v>1142715</v>
      </c>
      <c r="AD22" s="226">
        <v>1142715</v>
      </c>
      <c r="AE22" s="226">
        <f>+E22+J22+Y22</f>
        <v>946435</v>
      </c>
      <c r="AF22" s="226">
        <f>+F22+K22+Z22</f>
        <v>1142715</v>
      </c>
      <c r="AG22" s="226">
        <f>+G22+L22+AA22</f>
        <v>665186</v>
      </c>
      <c r="AH22" s="227">
        <f>+H22+M22+AB22</f>
        <v>0</v>
      </c>
      <c r="AI22" s="252" t="s">
        <v>373</v>
      </c>
      <c r="AJ22" s="253" t="s">
        <v>331</v>
      </c>
      <c r="AK22" s="253" t="s">
        <v>291</v>
      </c>
      <c r="AL22" s="253" t="s">
        <v>288</v>
      </c>
      <c r="AM22" s="254" t="s">
        <v>292</v>
      </c>
    </row>
    <row r="23" spans="2:39" ht="13.5" customHeight="1" x14ac:dyDescent="0.15">
      <c r="B23" s="236" t="s">
        <v>296</v>
      </c>
      <c r="C23" s="237" t="s">
        <v>297</v>
      </c>
      <c r="D23" s="215">
        <f>SUM(D24:D32)</f>
        <v>4803257</v>
      </c>
      <c r="E23" s="539">
        <f t="shared" ref="E23:AH23" si="76">SUM(E24:E32)</f>
        <v>3192459</v>
      </c>
      <c r="F23" s="215">
        <f t="shared" si="76"/>
        <v>4803257</v>
      </c>
      <c r="G23" s="539">
        <f t="shared" si="76"/>
        <v>4276674</v>
      </c>
      <c r="H23" s="215">
        <f t="shared" si="76"/>
        <v>4334540</v>
      </c>
      <c r="I23" s="215">
        <f t="shared" si="76"/>
        <v>1025917</v>
      </c>
      <c r="J23" s="215">
        <f t="shared" si="76"/>
        <v>862091</v>
      </c>
      <c r="K23" s="215">
        <f t="shared" si="76"/>
        <v>1025917</v>
      </c>
      <c r="L23" s="215">
        <f t="shared" si="76"/>
        <v>473411</v>
      </c>
      <c r="M23" s="215">
        <f t="shared" si="76"/>
        <v>553685</v>
      </c>
      <c r="N23" s="215">
        <f t="shared" si="76"/>
        <v>32400245</v>
      </c>
      <c r="O23" s="215">
        <f t="shared" si="76"/>
        <v>30531755</v>
      </c>
      <c r="P23" s="215">
        <f t="shared" si="76"/>
        <v>32400245</v>
      </c>
      <c r="Q23" s="215">
        <f t="shared" si="76"/>
        <v>23427495</v>
      </c>
      <c r="R23" s="215">
        <f t="shared" si="76"/>
        <v>23777216</v>
      </c>
      <c r="S23" s="215">
        <f t="shared" si="76"/>
        <v>55317123</v>
      </c>
      <c r="T23" s="215">
        <f t="shared" si="76"/>
        <v>63513653</v>
      </c>
      <c r="U23" s="215">
        <f t="shared" si="76"/>
        <v>55317123</v>
      </c>
      <c r="V23" s="215">
        <f t="shared" si="76"/>
        <v>51796214</v>
      </c>
      <c r="W23" s="215">
        <f t="shared" si="76"/>
        <v>48837507</v>
      </c>
      <c r="X23" s="215">
        <f t="shared" si="76"/>
        <v>87717368</v>
      </c>
      <c r="Y23" s="215">
        <f t="shared" si="76"/>
        <v>94045408</v>
      </c>
      <c r="Z23" s="215">
        <f t="shared" si="76"/>
        <v>87717368</v>
      </c>
      <c r="AA23" s="215">
        <f t="shared" si="76"/>
        <v>75223709</v>
      </c>
      <c r="AB23" s="215">
        <f t="shared" si="76"/>
        <v>72614723</v>
      </c>
      <c r="AC23" s="215">
        <f t="shared" si="76"/>
        <v>93546542</v>
      </c>
      <c r="AD23" s="215">
        <f t="shared" si="76"/>
        <v>99702657</v>
      </c>
      <c r="AE23" s="215">
        <f t="shared" si="76"/>
        <v>98099958</v>
      </c>
      <c r="AF23" s="215">
        <f t="shared" si="76"/>
        <v>93546542</v>
      </c>
      <c r="AG23" s="215">
        <f t="shared" si="76"/>
        <v>79973794</v>
      </c>
      <c r="AH23" s="215">
        <f t="shared" si="76"/>
        <v>77502948</v>
      </c>
      <c r="AI23" s="238" t="s">
        <v>273</v>
      </c>
      <c r="AJ23" s="239" t="s">
        <v>229</v>
      </c>
      <c r="AK23" s="239"/>
      <c r="AL23" s="239"/>
      <c r="AM23" s="240" t="s">
        <v>298</v>
      </c>
    </row>
    <row r="24" spans="2:39" ht="13.5" customHeight="1" x14ac:dyDescent="0.15">
      <c r="B24" s="429" t="s">
        <v>299</v>
      </c>
      <c r="C24" s="241" t="s">
        <v>76</v>
      </c>
      <c r="D24" s="224">
        <v>214292</v>
      </c>
      <c r="E24" s="540">
        <v>225615</v>
      </c>
      <c r="F24" s="226">
        <v>214292</v>
      </c>
      <c r="G24" s="554">
        <v>295142</v>
      </c>
      <c r="H24" s="227">
        <v>150118</v>
      </c>
      <c r="I24" s="224">
        <v>162690</v>
      </c>
      <c r="J24" s="225">
        <v>45768</v>
      </c>
      <c r="K24" s="226">
        <v>162690</v>
      </c>
      <c r="L24" s="226">
        <v>45818</v>
      </c>
      <c r="M24" s="227">
        <v>47196</v>
      </c>
      <c r="N24" s="224">
        <v>5853273</v>
      </c>
      <c r="O24" s="225">
        <v>3250182</v>
      </c>
      <c r="P24" s="226">
        <v>5853273</v>
      </c>
      <c r="Q24" s="226">
        <v>2761160</v>
      </c>
      <c r="R24" s="227">
        <v>1910497</v>
      </c>
      <c r="S24" s="224">
        <v>0</v>
      </c>
      <c r="T24" s="225">
        <v>0</v>
      </c>
      <c r="U24" s="226">
        <v>0</v>
      </c>
      <c r="V24" s="226">
        <v>0</v>
      </c>
      <c r="W24" s="227">
        <v>0</v>
      </c>
      <c r="X24" s="224">
        <f t="shared" ref="X24:AA30" si="77">+N24+S24</f>
        <v>5853273</v>
      </c>
      <c r="Y24" s="226">
        <f t="shared" si="77"/>
        <v>3250182</v>
      </c>
      <c r="Z24" s="226">
        <f t="shared" si="77"/>
        <v>5853273</v>
      </c>
      <c r="AA24" s="226">
        <f t="shared" si="77"/>
        <v>2761160</v>
      </c>
      <c r="AB24" s="227">
        <f t="shared" ref="AB24:AB31" si="78">+R24+W24</f>
        <v>1910497</v>
      </c>
      <c r="AC24" s="224">
        <f t="shared" si="35"/>
        <v>6230255</v>
      </c>
      <c r="AD24" s="226">
        <v>6050255</v>
      </c>
      <c r="AE24" s="226">
        <f t="shared" ref="AE24:AG30" si="79">+E24+J24+Y24</f>
        <v>3521565</v>
      </c>
      <c r="AF24" s="226">
        <f t="shared" si="79"/>
        <v>6230255</v>
      </c>
      <c r="AG24" s="226">
        <f t="shared" si="79"/>
        <v>3102120</v>
      </c>
      <c r="AH24" s="227">
        <f t="shared" ref="AH24:AH31" si="80">+H24+M24+AB24</f>
        <v>2107811</v>
      </c>
      <c r="AI24" s="228" t="s">
        <v>273</v>
      </c>
      <c r="AJ24" s="229" t="s">
        <v>229</v>
      </c>
      <c r="AK24" s="229" t="s">
        <v>291</v>
      </c>
      <c r="AL24" s="229" t="s">
        <v>277</v>
      </c>
      <c r="AM24" s="230" t="s">
        <v>278</v>
      </c>
    </row>
    <row r="25" spans="2:39" ht="13.5" customHeight="1" x14ac:dyDescent="0.15">
      <c r="B25" s="429" t="s">
        <v>300</v>
      </c>
      <c r="C25" s="241" t="s">
        <v>301</v>
      </c>
      <c r="D25" s="224">
        <v>350918</v>
      </c>
      <c r="E25" s="540">
        <v>180204</v>
      </c>
      <c r="F25" s="226">
        <v>350918</v>
      </c>
      <c r="G25" s="554">
        <v>287528</v>
      </c>
      <c r="H25" s="227">
        <v>303204</v>
      </c>
      <c r="I25" s="224">
        <v>178584</v>
      </c>
      <c r="J25" s="225">
        <v>79395</v>
      </c>
      <c r="K25" s="226">
        <v>178584</v>
      </c>
      <c r="L25" s="226">
        <v>79395</v>
      </c>
      <c r="M25" s="227">
        <v>81784</v>
      </c>
      <c r="N25" s="224">
        <v>3061929</v>
      </c>
      <c r="O25" s="225">
        <v>6282556</v>
      </c>
      <c r="P25" s="226">
        <v>3061929</v>
      </c>
      <c r="Q25" s="226">
        <v>2106880</v>
      </c>
      <c r="R25" s="227">
        <v>2291320</v>
      </c>
      <c r="S25" s="231">
        <v>2705581</v>
      </c>
      <c r="T25" s="225">
        <v>4820081</v>
      </c>
      <c r="U25" s="232">
        <v>2705581</v>
      </c>
      <c r="V25" s="226">
        <v>2145530</v>
      </c>
      <c r="W25" s="233">
        <v>2819620</v>
      </c>
      <c r="X25" s="224">
        <f t="shared" si="77"/>
        <v>5767510</v>
      </c>
      <c r="Y25" s="226">
        <f t="shared" si="77"/>
        <v>11102637</v>
      </c>
      <c r="Z25" s="226">
        <f t="shared" si="77"/>
        <v>5767510</v>
      </c>
      <c r="AA25" s="226">
        <f t="shared" si="77"/>
        <v>4252410</v>
      </c>
      <c r="AB25" s="227">
        <f t="shared" si="78"/>
        <v>5110940</v>
      </c>
      <c r="AC25" s="224">
        <f t="shared" si="35"/>
        <v>6297012</v>
      </c>
      <c r="AD25" s="226">
        <v>7162127</v>
      </c>
      <c r="AE25" s="226">
        <f t="shared" si="79"/>
        <v>11362236</v>
      </c>
      <c r="AF25" s="226">
        <f t="shared" si="79"/>
        <v>6297012</v>
      </c>
      <c r="AG25" s="226">
        <f t="shared" si="79"/>
        <v>4619333</v>
      </c>
      <c r="AH25" s="227">
        <f t="shared" si="80"/>
        <v>5495928</v>
      </c>
      <c r="AI25" s="228" t="s">
        <v>273</v>
      </c>
      <c r="AJ25" s="229" t="s">
        <v>229</v>
      </c>
      <c r="AK25" s="229" t="s">
        <v>276</v>
      </c>
      <c r="AL25" s="229" t="s">
        <v>277</v>
      </c>
      <c r="AM25" s="230" t="s">
        <v>302</v>
      </c>
    </row>
    <row r="26" spans="2:39" ht="13.5" customHeight="1" x14ac:dyDescent="0.15">
      <c r="B26" s="429" t="s">
        <v>303</v>
      </c>
      <c r="C26" s="241" t="s">
        <v>15</v>
      </c>
      <c r="D26" s="224">
        <v>96392</v>
      </c>
      <c r="E26" s="540">
        <v>43227</v>
      </c>
      <c r="F26" s="226">
        <v>96392</v>
      </c>
      <c r="G26" s="554">
        <v>475930</v>
      </c>
      <c r="H26" s="227">
        <v>336910</v>
      </c>
      <c r="I26" s="224">
        <v>250709</v>
      </c>
      <c r="J26" s="225">
        <v>163156</v>
      </c>
      <c r="K26" s="226">
        <v>250709</v>
      </c>
      <c r="L26" s="226">
        <v>163156</v>
      </c>
      <c r="M26" s="227">
        <v>168066</v>
      </c>
      <c r="N26" s="224">
        <v>4360857</v>
      </c>
      <c r="O26" s="225">
        <v>5631645</v>
      </c>
      <c r="P26" s="226">
        <v>4360857</v>
      </c>
      <c r="Q26" s="226">
        <v>3338546</v>
      </c>
      <c r="R26" s="227">
        <v>3423335</v>
      </c>
      <c r="S26" s="231">
        <v>6875154</v>
      </c>
      <c r="T26" s="225">
        <v>21035678</v>
      </c>
      <c r="U26" s="232">
        <v>6875154</v>
      </c>
      <c r="V26" s="226">
        <v>4054203</v>
      </c>
      <c r="W26" s="233">
        <v>2931054</v>
      </c>
      <c r="X26" s="224">
        <f t="shared" si="77"/>
        <v>11236011</v>
      </c>
      <c r="Y26" s="226">
        <f t="shared" si="77"/>
        <v>26667323</v>
      </c>
      <c r="Z26" s="226">
        <f t="shared" si="77"/>
        <v>11236011</v>
      </c>
      <c r="AA26" s="226">
        <f t="shared" si="77"/>
        <v>7392749</v>
      </c>
      <c r="AB26" s="227">
        <f t="shared" si="78"/>
        <v>6354389</v>
      </c>
      <c r="AC26" s="224">
        <f t="shared" si="35"/>
        <v>11583112</v>
      </c>
      <c r="AD26" s="226">
        <v>18439112</v>
      </c>
      <c r="AE26" s="226">
        <f t="shared" si="79"/>
        <v>26873706</v>
      </c>
      <c r="AF26" s="226">
        <f t="shared" si="79"/>
        <v>11583112</v>
      </c>
      <c r="AG26" s="226">
        <f t="shared" si="79"/>
        <v>8031835</v>
      </c>
      <c r="AH26" s="227">
        <f t="shared" si="80"/>
        <v>6859365</v>
      </c>
      <c r="AI26" s="228" t="s">
        <v>283</v>
      </c>
      <c r="AJ26" s="229" t="s">
        <v>229</v>
      </c>
      <c r="AK26" s="229" t="s">
        <v>276</v>
      </c>
      <c r="AL26" s="229" t="s">
        <v>277</v>
      </c>
      <c r="AM26" s="230" t="s">
        <v>304</v>
      </c>
    </row>
    <row r="27" spans="2:39" ht="13.5" customHeight="1" x14ac:dyDescent="0.15">
      <c r="B27" s="429" t="s">
        <v>305</v>
      </c>
      <c r="C27" s="241" t="s">
        <v>37</v>
      </c>
      <c r="D27" s="224">
        <v>2637654</v>
      </c>
      <c r="E27" s="540">
        <v>1917754</v>
      </c>
      <c r="F27" s="226">
        <v>2637654</v>
      </c>
      <c r="G27" s="554">
        <v>1284795</v>
      </c>
      <c r="H27" s="227">
        <v>1150586</v>
      </c>
      <c r="I27" s="224">
        <v>72034</v>
      </c>
      <c r="J27" s="225">
        <v>349497</v>
      </c>
      <c r="K27" s="226">
        <v>72034</v>
      </c>
      <c r="L27" s="226">
        <v>71040</v>
      </c>
      <c r="M27" s="227">
        <v>73128</v>
      </c>
      <c r="N27" s="224">
        <v>2324026</v>
      </c>
      <c r="O27" s="225">
        <v>1321662</v>
      </c>
      <c r="P27" s="226">
        <v>2324026</v>
      </c>
      <c r="Q27" s="226">
        <v>2155836</v>
      </c>
      <c r="R27" s="227">
        <v>1922858</v>
      </c>
      <c r="S27" s="231">
        <v>20115875</v>
      </c>
      <c r="T27" s="225">
        <v>14264552</v>
      </c>
      <c r="U27" s="232">
        <v>20115875</v>
      </c>
      <c r="V27" s="226">
        <v>20391423</v>
      </c>
      <c r="W27" s="233">
        <v>14518862</v>
      </c>
      <c r="X27" s="224">
        <f t="shared" si="77"/>
        <v>22439901</v>
      </c>
      <c r="Y27" s="226">
        <f t="shared" si="77"/>
        <v>15586214</v>
      </c>
      <c r="Z27" s="226">
        <f t="shared" si="77"/>
        <v>22439901</v>
      </c>
      <c r="AA27" s="226">
        <f t="shared" si="77"/>
        <v>22547259</v>
      </c>
      <c r="AB27" s="227">
        <f t="shared" si="78"/>
        <v>16441720</v>
      </c>
      <c r="AC27" s="224">
        <f t="shared" si="35"/>
        <v>25149589</v>
      </c>
      <c r="AD27" s="226">
        <v>21864589</v>
      </c>
      <c r="AE27" s="226">
        <f t="shared" si="79"/>
        <v>17853465</v>
      </c>
      <c r="AF27" s="226">
        <f t="shared" si="79"/>
        <v>25149589</v>
      </c>
      <c r="AG27" s="226">
        <f t="shared" si="79"/>
        <v>23903094</v>
      </c>
      <c r="AH27" s="227">
        <f t="shared" si="80"/>
        <v>17665434</v>
      </c>
      <c r="AI27" s="228" t="s">
        <v>273</v>
      </c>
      <c r="AJ27" s="229" t="s">
        <v>229</v>
      </c>
      <c r="AK27" s="229" t="s">
        <v>276</v>
      </c>
      <c r="AL27" s="229" t="s">
        <v>277</v>
      </c>
      <c r="AM27" s="230" t="s">
        <v>295</v>
      </c>
    </row>
    <row r="28" spans="2:39" ht="13.5" customHeight="1" x14ac:dyDescent="0.15">
      <c r="B28" s="429" t="s">
        <v>306</v>
      </c>
      <c r="C28" s="241" t="s">
        <v>307</v>
      </c>
      <c r="D28" s="224">
        <v>157800</v>
      </c>
      <c r="E28" s="540">
        <v>67584</v>
      </c>
      <c r="F28" s="226">
        <v>157800</v>
      </c>
      <c r="G28" s="554">
        <v>90369</v>
      </c>
      <c r="H28" s="227">
        <v>61897</v>
      </c>
      <c r="I28" s="224">
        <v>153106</v>
      </c>
      <c r="J28" s="225">
        <v>50</v>
      </c>
      <c r="K28" s="226">
        <v>153106</v>
      </c>
      <c r="L28" s="226">
        <v>0</v>
      </c>
      <c r="M28" s="227">
        <v>0</v>
      </c>
      <c r="N28" s="224">
        <v>958619</v>
      </c>
      <c r="O28" s="225">
        <v>514182</v>
      </c>
      <c r="P28" s="226">
        <v>958619</v>
      </c>
      <c r="Q28" s="226">
        <v>365130</v>
      </c>
      <c r="R28" s="227">
        <v>345408</v>
      </c>
      <c r="S28" s="231">
        <v>0</v>
      </c>
      <c r="T28" s="225">
        <v>0</v>
      </c>
      <c r="U28" s="232">
        <v>0</v>
      </c>
      <c r="V28" s="226"/>
      <c r="W28" s="233">
        <v>0</v>
      </c>
      <c r="X28" s="224">
        <f t="shared" si="77"/>
        <v>958619</v>
      </c>
      <c r="Y28" s="226">
        <f t="shared" si="77"/>
        <v>514182</v>
      </c>
      <c r="Z28" s="226">
        <f t="shared" si="77"/>
        <v>958619</v>
      </c>
      <c r="AA28" s="226">
        <f t="shared" si="77"/>
        <v>365130</v>
      </c>
      <c r="AB28" s="227">
        <f t="shared" si="78"/>
        <v>345408</v>
      </c>
      <c r="AC28" s="224">
        <f t="shared" si="35"/>
        <v>1269525</v>
      </c>
      <c r="AD28" s="226">
        <v>1269525</v>
      </c>
      <c r="AE28" s="226">
        <f t="shared" si="79"/>
        <v>581816</v>
      </c>
      <c r="AF28" s="226">
        <f t="shared" si="79"/>
        <v>1269525</v>
      </c>
      <c r="AG28" s="226">
        <f t="shared" si="79"/>
        <v>455499</v>
      </c>
      <c r="AH28" s="227">
        <f t="shared" si="80"/>
        <v>407305</v>
      </c>
      <c r="AI28" s="228" t="s">
        <v>273</v>
      </c>
      <c r="AJ28" s="229" t="s">
        <v>229</v>
      </c>
      <c r="AK28" s="229" t="s">
        <v>291</v>
      </c>
      <c r="AL28" s="229" t="s">
        <v>277</v>
      </c>
      <c r="AM28" s="230" t="s">
        <v>308</v>
      </c>
    </row>
    <row r="29" spans="2:39" ht="13.5" customHeight="1" x14ac:dyDescent="0.15">
      <c r="B29" s="429" t="s">
        <v>309</v>
      </c>
      <c r="C29" s="241" t="s">
        <v>12</v>
      </c>
      <c r="D29" s="224">
        <v>906082</v>
      </c>
      <c r="E29" s="540">
        <v>610890</v>
      </c>
      <c r="F29" s="226">
        <v>906082</v>
      </c>
      <c r="G29" s="554">
        <v>1463850</v>
      </c>
      <c r="H29" s="227">
        <v>1386284</v>
      </c>
      <c r="I29" s="224">
        <v>105951</v>
      </c>
      <c r="J29" s="225">
        <v>204783</v>
      </c>
      <c r="K29" s="226">
        <v>105951</v>
      </c>
      <c r="L29" s="226">
        <v>94560</v>
      </c>
      <c r="M29" s="227">
        <v>97405</v>
      </c>
      <c r="N29" s="224">
        <v>12650226</v>
      </c>
      <c r="O29" s="225">
        <v>10832484</v>
      </c>
      <c r="P29" s="226">
        <v>12650226</v>
      </c>
      <c r="Q29" s="226">
        <v>9777851</v>
      </c>
      <c r="R29" s="227">
        <v>10061777</v>
      </c>
      <c r="S29" s="231">
        <v>20425676</v>
      </c>
      <c r="T29" s="225">
        <v>20344614</v>
      </c>
      <c r="U29" s="232">
        <v>20425676</v>
      </c>
      <c r="V29" s="226">
        <v>20257644</v>
      </c>
      <c r="W29" s="233">
        <v>15742397</v>
      </c>
      <c r="X29" s="224">
        <f t="shared" si="77"/>
        <v>33075902</v>
      </c>
      <c r="Y29" s="226">
        <f t="shared" si="77"/>
        <v>31177098</v>
      </c>
      <c r="Z29" s="226">
        <f t="shared" si="77"/>
        <v>33075902</v>
      </c>
      <c r="AA29" s="226">
        <f t="shared" si="77"/>
        <v>30035495</v>
      </c>
      <c r="AB29" s="227">
        <f t="shared" si="78"/>
        <v>25804174</v>
      </c>
      <c r="AC29" s="224">
        <f t="shared" si="35"/>
        <v>34087935</v>
      </c>
      <c r="AD29" s="226">
        <v>35987935</v>
      </c>
      <c r="AE29" s="226">
        <f t="shared" si="79"/>
        <v>31992771</v>
      </c>
      <c r="AF29" s="226">
        <f t="shared" si="79"/>
        <v>34087935</v>
      </c>
      <c r="AG29" s="226">
        <f t="shared" si="79"/>
        <v>31593905</v>
      </c>
      <c r="AH29" s="227">
        <f t="shared" si="80"/>
        <v>27287863</v>
      </c>
      <c r="AI29" s="228" t="s">
        <v>273</v>
      </c>
      <c r="AJ29" s="229" t="s">
        <v>229</v>
      </c>
      <c r="AK29" s="229" t="s">
        <v>276</v>
      </c>
      <c r="AL29" s="229" t="s">
        <v>277</v>
      </c>
      <c r="AM29" s="230" t="s">
        <v>289</v>
      </c>
    </row>
    <row r="30" spans="2:39" ht="13.5" customHeight="1" x14ac:dyDescent="0.15">
      <c r="B30" s="429" t="s">
        <v>310</v>
      </c>
      <c r="C30" s="241" t="s">
        <v>311</v>
      </c>
      <c r="D30" s="224">
        <v>401068</v>
      </c>
      <c r="E30" s="540">
        <v>130955</v>
      </c>
      <c r="F30" s="226">
        <v>401068</v>
      </c>
      <c r="G30" s="554">
        <v>377239</v>
      </c>
      <c r="H30" s="227">
        <v>431142</v>
      </c>
      <c r="I30" s="224">
        <v>101050</v>
      </c>
      <c r="J30" s="225">
        <v>19442</v>
      </c>
      <c r="K30" s="226">
        <v>101050</v>
      </c>
      <c r="L30" s="226">
        <v>19442</v>
      </c>
      <c r="M30" s="227">
        <v>20027</v>
      </c>
      <c r="N30" s="224">
        <v>3042273</v>
      </c>
      <c r="O30" s="225">
        <v>2699044</v>
      </c>
      <c r="P30" s="226">
        <v>3042273</v>
      </c>
      <c r="Q30" s="226">
        <v>2914247</v>
      </c>
      <c r="R30" s="227">
        <v>2871722</v>
      </c>
      <c r="S30" s="231">
        <v>5194837</v>
      </c>
      <c r="T30" s="225">
        <v>3048728</v>
      </c>
      <c r="U30" s="232">
        <v>5194837</v>
      </c>
      <c r="V30" s="226">
        <v>4947414</v>
      </c>
      <c r="W30" s="233">
        <v>5129124</v>
      </c>
      <c r="X30" s="224">
        <f t="shared" si="77"/>
        <v>8237110</v>
      </c>
      <c r="Y30" s="226">
        <f t="shared" si="77"/>
        <v>5747772</v>
      </c>
      <c r="Z30" s="226">
        <f t="shared" si="77"/>
        <v>8237110</v>
      </c>
      <c r="AA30" s="226">
        <f t="shared" si="77"/>
        <v>7861661</v>
      </c>
      <c r="AB30" s="227">
        <f t="shared" si="78"/>
        <v>8000846</v>
      </c>
      <c r="AC30" s="224">
        <f t="shared" si="35"/>
        <v>8739228</v>
      </c>
      <c r="AD30" s="226">
        <v>8739228</v>
      </c>
      <c r="AE30" s="226">
        <f t="shared" si="79"/>
        <v>5898169</v>
      </c>
      <c r="AF30" s="226">
        <f t="shared" si="79"/>
        <v>8739228</v>
      </c>
      <c r="AG30" s="226">
        <f t="shared" si="79"/>
        <v>8258342</v>
      </c>
      <c r="AH30" s="227">
        <f t="shared" si="80"/>
        <v>8452015</v>
      </c>
      <c r="AI30" s="228" t="s">
        <v>273</v>
      </c>
      <c r="AJ30" s="229" t="s">
        <v>229</v>
      </c>
      <c r="AK30" s="229" t="s">
        <v>276</v>
      </c>
      <c r="AL30" s="229" t="s">
        <v>277</v>
      </c>
      <c r="AM30" s="230" t="s">
        <v>292</v>
      </c>
    </row>
    <row r="31" spans="2:39" ht="13.5" customHeight="1" x14ac:dyDescent="0.15">
      <c r="B31" s="429" t="s">
        <v>312</v>
      </c>
      <c r="C31" s="234" t="s">
        <v>20</v>
      </c>
      <c r="D31" s="235">
        <v>0</v>
      </c>
      <c r="E31" s="540">
        <v>0</v>
      </c>
      <c r="F31" s="226">
        <v>0</v>
      </c>
      <c r="G31" s="554"/>
      <c r="H31" s="227">
        <v>514399</v>
      </c>
      <c r="I31" s="235">
        <v>0</v>
      </c>
      <c r="J31" s="225">
        <v>0</v>
      </c>
      <c r="K31" s="226">
        <v>0</v>
      </c>
      <c r="L31" s="226"/>
      <c r="M31" s="227">
        <v>66079</v>
      </c>
      <c r="N31" s="235">
        <v>0</v>
      </c>
      <c r="O31" s="225">
        <v>0</v>
      </c>
      <c r="P31" s="226">
        <v>0</v>
      </c>
      <c r="Q31" s="226"/>
      <c r="R31" s="227">
        <v>950299</v>
      </c>
      <c r="S31" s="235">
        <v>0</v>
      </c>
      <c r="T31" s="225">
        <v>0</v>
      </c>
      <c r="U31" s="232">
        <v>0</v>
      </c>
      <c r="V31" s="226"/>
      <c r="W31" s="233">
        <v>7696450</v>
      </c>
      <c r="X31" s="224">
        <f>+N31+S31</f>
        <v>0</v>
      </c>
      <c r="Y31" s="226">
        <v>0</v>
      </c>
      <c r="Z31" s="226">
        <f>+P31+U31</f>
        <v>0</v>
      </c>
      <c r="AA31" s="226">
        <f>+Q31+V31</f>
        <v>0</v>
      </c>
      <c r="AB31" s="227">
        <f t="shared" si="78"/>
        <v>8646749</v>
      </c>
      <c r="AC31" s="224">
        <f t="shared" si="35"/>
        <v>0</v>
      </c>
      <c r="AD31" s="226">
        <v>0</v>
      </c>
      <c r="AE31" s="226">
        <v>0</v>
      </c>
      <c r="AF31" s="226">
        <v>0</v>
      </c>
      <c r="AG31" s="226">
        <v>0</v>
      </c>
      <c r="AH31" s="227">
        <f t="shared" si="80"/>
        <v>9227227</v>
      </c>
      <c r="AI31" s="228" t="s">
        <v>283</v>
      </c>
      <c r="AJ31" s="229" t="s">
        <v>229</v>
      </c>
      <c r="AK31" s="229" t="s">
        <v>276</v>
      </c>
      <c r="AL31" s="229" t="s">
        <v>294</v>
      </c>
      <c r="AM31" s="229" t="s">
        <v>313</v>
      </c>
    </row>
    <row r="32" spans="2:39" ht="13.5" customHeight="1" x14ac:dyDescent="0.15">
      <c r="B32" s="439" t="s">
        <v>372</v>
      </c>
      <c r="C32" s="438" t="s">
        <v>84</v>
      </c>
      <c r="D32" s="224">
        <v>39051</v>
      </c>
      <c r="E32" s="542">
        <v>16230</v>
      </c>
      <c r="F32" s="226">
        <v>39051</v>
      </c>
      <c r="G32" s="554">
        <v>1821</v>
      </c>
      <c r="H32" s="227">
        <v>0</v>
      </c>
      <c r="I32" s="235">
        <v>1793</v>
      </c>
      <c r="J32" s="226">
        <v>0</v>
      </c>
      <c r="K32" s="226">
        <v>1793</v>
      </c>
      <c r="L32" s="226"/>
      <c r="M32" s="227">
        <v>0</v>
      </c>
      <c r="N32" s="224">
        <v>149042</v>
      </c>
      <c r="O32" s="440">
        <v>0</v>
      </c>
      <c r="P32" s="226">
        <v>149042</v>
      </c>
      <c r="Q32" s="226">
        <v>7845</v>
      </c>
      <c r="R32" s="227">
        <v>0</v>
      </c>
      <c r="S32" s="224">
        <v>0</v>
      </c>
      <c r="T32" s="226">
        <v>0</v>
      </c>
      <c r="U32" s="226">
        <v>0</v>
      </c>
      <c r="V32" s="226"/>
      <c r="W32" s="227">
        <v>0</v>
      </c>
      <c r="X32" s="224">
        <f>+N32+S32</f>
        <v>149042</v>
      </c>
      <c r="Y32" s="226">
        <f>+O32+T32</f>
        <v>0</v>
      </c>
      <c r="Z32" s="226">
        <f>+P32+U32</f>
        <v>149042</v>
      </c>
      <c r="AA32" s="226">
        <f>+Q32+V32</f>
        <v>7845</v>
      </c>
      <c r="AB32" s="227">
        <f>+R32+W32</f>
        <v>0</v>
      </c>
      <c r="AC32" s="224">
        <f>+D32+I32+X32</f>
        <v>189886</v>
      </c>
      <c r="AD32" s="226">
        <v>189886</v>
      </c>
      <c r="AE32" s="226">
        <f>+E32+J32+Y32</f>
        <v>16230</v>
      </c>
      <c r="AF32" s="226">
        <f>+F32+K32+Z32</f>
        <v>189886</v>
      </c>
      <c r="AG32" s="226">
        <f>+G32+L32+AA32</f>
        <v>9666</v>
      </c>
      <c r="AH32" s="227">
        <f>+H32+M32+AB32</f>
        <v>0</v>
      </c>
      <c r="AI32" s="228" t="s">
        <v>373</v>
      </c>
      <c r="AJ32" s="229" t="s">
        <v>233</v>
      </c>
      <c r="AK32" s="229" t="s">
        <v>291</v>
      </c>
      <c r="AL32" s="229" t="s">
        <v>288</v>
      </c>
      <c r="AM32" s="230" t="s">
        <v>374</v>
      </c>
    </row>
    <row r="33" spans="2:39" ht="13.5" customHeight="1" x14ac:dyDescent="0.15">
      <c r="B33" s="250" t="s">
        <v>487</v>
      </c>
      <c r="C33" s="237" t="s">
        <v>414</v>
      </c>
      <c r="D33" s="215">
        <f>SUM(D34:D42)</f>
        <v>3712497</v>
      </c>
      <c r="E33" s="539">
        <f t="shared" ref="E33:AH33" si="81">SUM(E34:E42)</f>
        <v>1905791</v>
      </c>
      <c r="F33" s="215">
        <f t="shared" si="81"/>
        <v>3712497</v>
      </c>
      <c r="G33" s="539">
        <f t="shared" si="81"/>
        <v>1134997</v>
      </c>
      <c r="H33" s="215">
        <f t="shared" si="81"/>
        <v>720642</v>
      </c>
      <c r="I33" s="215">
        <f t="shared" si="81"/>
        <v>441254</v>
      </c>
      <c r="J33" s="215">
        <f t="shared" si="81"/>
        <v>788647</v>
      </c>
      <c r="K33" s="215">
        <f t="shared" si="81"/>
        <v>441254</v>
      </c>
      <c r="L33" s="215">
        <f t="shared" si="81"/>
        <v>432301</v>
      </c>
      <c r="M33" s="215">
        <f t="shared" si="81"/>
        <v>108431</v>
      </c>
      <c r="N33" s="215">
        <f t="shared" si="81"/>
        <v>6816517</v>
      </c>
      <c r="O33" s="215">
        <f t="shared" si="81"/>
        <v>5331546</v>
      </c>
      <c r="P33" s="215">
        <f t="shared" si="81"/>
        <v>6816517</v>
      </c>
      <c r="Q33" s="215">
        <f t="shared" si="81"/>
        <v>3572518</v>
      </c>
      <c r="R33" s="215">
        <f t="shared" si="81"/>
        <v>4004724</v>
      </c>
      <c r="S33" s="215">
        <f t="shared" si="81"/>
        <v>6315151</v>
      </c>
      <c r="T33" s="215">
        <f t="shared" si="81"/>
        <v>1963929.92</v>
      </c>
      <c r="U33" s="215">
        <f t="shared" si="81"/>
        <v>6315151</v>
      </c>
      <c r="V33" s="215">
        <f t="shared" si="81"/>
        <v>3014765</v>
      </c>
      <c r="W33" s="215">
        <f t="shared" si="81"/>
        <v>1892045.2</v>
      </c>
      <c r="X33" s="215">
        <f t="shared" si="81"/>
        <v>13131668</v>
      </c>
      <c r="Y33" s="215">
        <f t="shared" si="81"/>
        <v>7295475.9199999999</v>
      </c>
      <c r="Z33" s="215">
        <f t="shared" si="81"/>
        <v>13131668</v>
      </c>
      <c r="AA33" s="215">
        <f t="shared" si="81"/>
        <v>6587283</v>
      </c>
      <c r="AB33" s="215">
        <f t="shared" si="81"/>
        <v>5896769.2000000002</v>
      </c>
      <c r="AC33" s="215">
        <f t="shared" si="81"/>
        <v>17285419</v>
      </c>
      <c r="AD33" s="215">
        <f t="shared" si="81"/>
        <v>17285419</v>
      </c>
      <c r="AE33" s="215">
        <f t="shared" si="81"/>
        <v>9989913.9199999999</v>
      </c>
      <c r="AF33" s="215">
        <f t="shared" si="81"/>
        <v>17285419</v>
      </c>
      <c r="AG33" s="215">
        <f t="shared" si="81"/>
        <v>8154581</v>
      </c>
      <c r="AH33" s="215">
        <f t="shared" si="81"/>
        <v>6725842.2000000002</v>
      </c>
      <c r="AI33" s="238"/>
      <c r="AJ33" s="239"/>
      <c r="AK33" s="249"/>
      <c r="AL33" s="249"/>
      <c r="AM33" s="240"/>
    </row>
    <row r="34" spans="2:39" ht="13.5" customHeight="1" x14ac:dyDescent="0.15">
      <c r="B34" s="435" t="s">
        <v>415</v>
      </c>
      <c r="C34" s="241" t="s">
        <v>23</v>
      </c>
      <c r="D34" s="224">
        <v>96612</v>
      </c>
      <c r="E34" s="541">
        <v>75523</v>
      </c>
      <c r="F34" s="232">
        <v>96612</v>
      </c>
      <c r="G34" s="541">
        <v>37677</v>
      </c>
      <c r="H34" s="233">
        <v>0</v>
      </c>
      <c r="I34" s="224">
        <v>2450</v>
      </c>
      <c r="J34" s="232">
        <v>116647</v>
      </c>
      <c r="K34" s="232">
        <v>2450</v>
      </c>
      <c r="L34" s="232">
        <v>2400</v>
      </c>
      <c r="M34" s="233">
        <v>0</v>
      </c>
      <c r="N34" s="224">
        <v>140994</v>
      </c>
      <c r="O34" s="232">
        <v>76972</v>
      </c>
      <c r="P34" s="232">
        <v>140994</v>
      </c>
      <c r="Q34" s="232">
        <v>106043</v>
      </c>
      <c r="R34" s="233">
        <v>0</v>
      </c>
      <c r="S34" s="224">
        <v>0</v>
      </c>
      <c r="T34" s="232">
        <v>0</v>
      </c>
      <c r="U34" s="232">
        <v>0</v>
      </c>
      <c r="V34" s="232"/>
      <c r="W34" s="233">
        <v>0</v>
      </c>
      <c r="X34" s="224">
        <f t="shared" ref="X34:X42" si="82">+N34+S34</f>
        <v>140994</v>
      </c>
      <c r="Y34" s="226">
        <f t="shared" ref="Y34:Y42" si="83">+O34+T34</f>
        <v>76972</v>
      </c>
      <c r="Z34" s="226">
        <f t="shared" ref="Z34:AA42" si="84">+P34+U34</f>
        <v>140994</v>
      </c>
      <c r="AA34" s="226">
        <f t="shared" si="84"/>
        <v>106043</v>
      </c>
      <c r="AB34" s="227">
        <f t="shared" ref="AB34:AB41" si="85">+R34+W34</f>
        <v>0</v>
      </c>
      <c r="AC34" s="224">
        <f t="shared" ref="AC34:AC41" si="86">+D34+I34+X34</f>
        <v>240056</v>
      </c>
      <c r="AD34" s="226">
        <v>240056</v>
      </c>
      <c r="AE34" s="226">
        <f t="shared" ref="AE34:AE42" si="87">+E34+J34+Y34</f>
        <v>269142</v>
      </c>
      <c r="AF34" s="226">
        <f t="shared" ref="AF34:AG42" si="88">+F34+K34+Z34</f>
        <v>240056</v>
      </c>
      <c r="AG34" s="226">
        <f t="shared" si="88"/>
        <v>146120</v>
      </c>
      <c r="AH34" s="227">
        <f t="shared" ref="AH34:AH41" si="89">+H34+M34+AB34</f>
        <v>0</v>
      </c>
      <c r="AI34" s="252" t="s">
        <v>373</v>
      </c>
      <c r="AJ34" s="253" t="s">
        <v>229</v>
      </c>
      <c r="AK34" s="253" t="s">
        <v>291</v>
      </c>
      <c r="AL34" s="253" t="s">
        <v>288</v>
      </c>
      <c r="AM34" s="254" t="s">
        <v>416</v>
      </c>
    </row>
    <row r="35" spans="2:39" ht="13.5" customHeight="1" x14ac:dyDescent="0.15">
      <c r="B35" s="435" t="s">
        <v>417</v>
      </c>
      <c r="C35" s="241" t="s">
        <v>24</v>
      </c>
      <c r="D35" s="224">
        <v>288595</v>
      </c>
      <c r="E35" s="541">
        <v>294112</v>
      </c>
      <c r="F35" s="232">
        <v>288595</v>
      </c>
      <c r="G35" s="541">
        <v>174927</v>
      </c>
      <c r="H35" s="233">
        <v>155317</v>
      </c>
      <c r="I35" s="224">
        <v>24497</v>
      </c>
      <c r="J35" s="232">
        <v>99394</v>
      </c>
      <c r="K35" s="232">
        <v>24497</v>
      </c>
      <c r="L35" s="232">
        <v>24000</v>
      </c>
      <c r="M35" s="233">
        <v>24722</v>
      </c>
      <c r="N35" s="224">
        <v>644909</v>
      </c>
      <c r="O35" s="232">
        <v>863364</v>
      </c>
      <c r="P35" s="232">
        <v>644909</v>
      </c>
      <c r="Q35" s="232">
        <v>497069</v>
      </c>
      <c r="R35" s="233">
        <v>528740</v>
      </c>
      <c r="S35" s="224">
        <v>809330</v>
      </c>
      <c r="T35" s="232">
        <v>295648</v>
      </c>
      <c r="U35" s="232">
        <v>809330</v>
      </c>
      <c r="V35" s="232">
        <v>419286</v>
      </c>
      <c r="W35" s="233">
        <v>266848</v>
      </c>
      <c r="X35" s="224">
        <f t="shared" si="82"/>
        <v>1454239</v>
      </c>
      <c r="Y35" s="226">
        <f t="shared" si="83"/>
        <v>1159012</v>
      </c>
      <c r="Z35" s="226">
        <f t="shared" si="84"/>
        <v>1454239</v>
      </c>
      <c r="AA35" s="226">
        <f t="shared" si="84"/>
        <v>916355</v>
      </c>
      <c r="AB35" s="227">
        <f t="shared" si="85"/>
        <v>795588</v>
      </c>
      <c r="AC35" s="224">
        <f t="shared" si="86"/>
        <v>1767331</v>
      </c>
      <c r="AD35" s="226">
        <v>2633394</v>
      </c>
      <c r="AE35" s="226">
        <f t="shared" si="87"/>
        <v>1552518</v>
      </c>
      <c r="AF35" s="226">
        <f t="shared" si="88"/>
        <v>1767331</v>
      </c>
      <c r="AG35" s="226">
        <f t="shared" si="88"/>
        <v>1115282</v>
      </c>
      <c r="AH35" s="227">
        <f t="shared" si="89"/>
        <v>975627</v>
      </c>
      <c r="AI35" s="252" t="s">
        <v>373</v>
      </c>
      <c r="AJ35" s="253" t="s">
        <v>229</v>
      </c>
      <c r="AK35" s="253" t="s">
        <v>276</v>
      </c>
      <c r="AL35" s="253" t="s">
        <v>277</v>
      </c>
      <c r="AM35" s="254" t="s">
        <v>416</v>
      </c>
    </row>
    <row r="36" spans="2:39" ht="13.5" customHeight="1" x14ac:dyDescent="0.15">
      <c r="B36" s="435" t="s">
        <v>418</v>
      </c>
      <c r="C36" s="241" t="s">
        <v>25</v>
      </c>
      <c r="D36" s="224">
        <v>345161</v>
      </c>
      <c r="E36" s="541">
        <v>328558</v>
      </c>
      <c r="F36" s="232">
        <v>345161</v>
      </c>
      <c r="G36" s="541">
        <v>170877</v>
      </c>
      <c r="H36" s="233">
        <v>128317</v>
      </c>
      <c r="I36" s="224">
        <v>30621</v>
      </c>
      <c r="J36" s="232">
        <v>212648</v>
      </c>
      <c r="K36" s="232">
        <v>30621</v>
      </c>
      <c r="L36" s="232">
        <v>30000</v>
      </c>
      <c r="M36" s="233">
        <v>30902</v>
      </c>
      <c r="N36" s="224">
        <v>1293417</v>
      </c>
      <c r="O36" s="232">
        <v>1105448</v>
      </c>
      <c r="P36" s="232">
        <v>1293417</v>
      </c>
      <c r="Q36" s="232">
        <v>486841</v>
      </c>
      <c r="R36" s="233">
        <v>530561</v>
      </c>
      <c r="S36" s="224">
        <v>671462</v>
      </c>
      <c r="T36" s="232">
        <v>450154</v>
      </c>
      <c r="U36" s="232">
        <v>671462</v>
      </c>
      <c r="V36" s="232">
        <v>457029</v>
      </c>
      <c r="W36" s="233">
        <v>267946</v>
      </c>
      <c r="X36" s="224">
        <f t="shared" si="82"/>
        <v>1964879</v>
      </c>
      <c r="Y36" s="226">
        <f t="shared" si="83"/>
        <v>1555602</v>
      </c>
      <c r="Z36" s="226">
        <f t="shared" si="84"/>
        <v>1964879</v>
      </c>
      <c r="AA36" s="226">
        <f t="shared" si="84"/>
        <v>943870</v>
      </c>
      <c r="AB36" s="227">
        <f t="shared" si="85"/>
        <v>798507</v>
      </c>
      <c r="AC36" s="224">
        <f t="shared" si="86"/>
        <v>2340661</v>
      </c>
      <c r="AD36" s="226">
        <v>2340661</v>
      </c>
      <c r="AE36" s="226">
        <f t="shared" si="87"/>
        <v>2096808</v>
      </c>
      <c r="AF36" s="226">
        <f t="shared" si="88"/>
        <v>2340661</v>
      </c>
      <c r="AG36" s="226">
        <f t="shared" si="88"/>
        <v>1144747</v>
      </c>
      <c r="AH36" s="227">
        <f t="shared" si="89"/>
        <v>957726</v>
      </c>
      <c r="AI36" s="252" t="s">
        <v>373</v>
      </c>
      <c r="AJ36" s="253" t="s">
        <v>229</v>
      </c>
      <c r="AK36" s="253" t="s">
        <v>276</v>
      </c>
      <c r="AL36" s="253" t="s">
        <v>277</v>
      </c>
      <c r="AM36" s="254" t="s">
        <v>416</v>
      </c>
    </row>
    <row r="37" spans="2:39" ht="13.5" customHeight="1" x14ac:dyDescent="0.15">
      <c r="B37" s="435" t="s">
        <v>419</v>
      </c>
      <c r="C37" s="241" t="s">
        <v>26</v>
      </c>
      <c r="D37" s="224">
        <v>284140</v>
      </c>
      <c r="E37" s="541">
        <v>306734</v>
      </c>
      <c r="F37" s="232">
        <v>284140</v>
      </c>
      <c r="G37" s="541">
        <v>175414</v>
      </c>
      <c r="H37" s="233">
        <v>147060</v>
      </c>
      <c r="I37" s="224">
        <v>13473</v>
      </c>
      <c r="J37" s="232">
        <v>195858</v>
      </c>
      <c r="K37" s="232">
        <v>13473</v>
      </c>
      <c r="L37" s="232">
        <v>13200</v>
      </c>
      <c r="M37" s="233">
        <v>13597</v>
      </c>
      <c r="N37" s="224">
        <v>1253300</v>
      </c>
      <c r="O37" s="232">
        <v>670680</v>
      </c>
      <c r="P37" s="232">
        <v>1253300</v>
      </c>
      <c r="Q37" s="232">
        <v>163748</v>
      </c>
      <c r="R37" s="233">
        <v>714733</v>
      </c>
      <c r="S37" s="224">
        <v>684537</v>
      </c>
      <c r="T37" s="232">
        <v>735207</v>
      </c>
      <c r="U37" s="232">
        <v>684537</v>
      </c>
      <c r="V37" s="232">
        <v>634351</v>
      </c>
      <c r="W37" s="233">
        <v>320842</v>
      </c>
      <c r="X37" s="224">
        <f t="shared" si="82"/>
        <v>1937837</v>
      </c>
      <c r="Y37" s="226">
        <f t="shared" si="83"/>
        <v>1405887</v>
      </c>
      <c r="Z37" s="226">
        <f t="shared" si="84"/>
        <v>1937837</v>
      </c>
      <c r="AA37" s="226">
        <f t="shared" si="84"/>
        <v>798099</v>
      </c>
      <c r="AB37" s="227">
        <f t="shared" si="85"/>
        <v>1035575</v>
      </c>
      <c r="AC37" s="224">
        <f t="shared" si="86"/>
        <v>2235450</v>
      </c>
      <c r="AD37" s="226">
        <v>2235450</v>
      </c>
      <c r="AE37" s="226">
        <f t="shared" si="87"/>
        <v>1908479</v>
      </c>
      <c r="AF37" s="226">
        <f t="shared" si="88"/>
        <v>2235450</v>
      </c>
      <c r="AG37" s="226">
        <f t="shared" si="88"/>
        <v>986713</v>
      </c>
      <c r="AH37" s="227">
        <f t="shared" si="89"/>
        <v>1196232</v>
      </c>
      <c r="AI37" s="252" t="s">
        <v>373</v>
      </c>
      <c r="AJ37" s="253" t="s">
        <v>229</v>
      </c>
      <c r="AK37" s="253" t="s">
        <v>276</v>
      </c>
      <c r="AL37" s="253" t="s">
        <v>277</v>
      </c>
      <c r="AM37" s="254" t="s">
        <v>416</v>
      </c>
    </row>
    <row r="38" spans="2:39" ht="13.5" customHeight="1" x14ac:dyDescent="0.15">
      <c r="B38" s="435" t="s">
        <v>420</v>
      </c>
      <c r="C38" s="241" t="s">
        <v>33</v>
      </c>
      <c r="D38" s="224">
        <v>1152149</v>
      </c>
      <c r="E38" s="541">
        <v>233996</v>
      </c>
      <c r="F38" s="232">
        <v>1152149</v>
      </c>
      <c r="G38" s="541">
        <v>144782</v>
      </c>
      <c r="H38" s="233">
        <v>0</v>
      </c>
      <c r="I38" s="224">
        <v>193935</v>
      </c>
      <c r="J38" s="232">
        <v>0</v>
      </c>
      <c r="K38" s="232">
        <v>193935</v>
      </c>
      <c r="L38" s="232">
        <v>190000</v>
      </c>
      <c r="M38" s="233">
        <v>0</v>
      </c>
      <c r="N38" s="224">
        <v>875206</v>
      </c>
      <c r="O38" s="232">
        <v>348270</v>
      </c>
      <c r="P38" s="232">
        <v>875206</v>
      </c>
      <c r="Q38" s="232">
        <v>369820</v>
      </c>
      <c r="R38" s="233">
        <v>0</v>
      </c>
      <c r="S38" s="224">
        <v>612764</v>
      </c>
      <c r="T38" s="232">
        <v>306616</v>
      </c>
      <c r="U38" s="232">
        <v>612764</v>
      </c>
      <c r="V38" s="232">
        <v>125143</v>
      </c>
      <c r="W38" s="233">
        <v>0</v>
      </c>
      <c r="X38" s="224">
        <f t="shared" si="82"/>
        <v>1487970</v>
      </c>
      <c r="Y38" s="226">
        <f t="shared" si="83"/>
        <v>654886</v>
      </c>
      <c r="Z38" s="226">
        <f t="shared" si="84"/>
        <v>1487970</v>
      </c>
      <c r="AA38" s="226">
        <f t="shared" si="84"/>
        <v>494963</v>
      </c>
      <c r="AB38" s="227">
        <f t="shared" si="85"/>
        <v>0</v>
      </c>
      <c r="AC38" s="224">
        <f t="shared" si="86"/>
        <v>2834054</v>
      </c>
      <c r="AD38" s="226">
        <v>1967991</v>
      </c>
      <c r="AE38" s="226">
        <f t="shared" si="87"/>
        <v>888882</v>
      </c>
      <c r="AF38" s="226">
        <f t="shared" si="88"/>
        <v>2834054</v>
      </c>
      <c r="AG38" s="226">
        <f t="shared" si="88"/>
        <v>829745</v>
      </c>
      <c r="AH38" s="227">
        <f t="shared" si="89"/>
        <v>0</v>
      </c>
      <c r="AI38" s="252" t="s">
        <v>373</v>
      </c>
      <c r="AJ38" s="253" t="s">
        <v>229</v>
      </c>
      <c r="AK38" s="253" t="s">
        <v>276</v>
      </c>
      <c r="AL38" s="253" t="s">
        <v>288</v>
      </c>
      <c r="AM38" s="254" t="s">
        <v>416</v>
      </c>
    </row>
    <row r="39" spans="2:39" ht="13.5" customHeight="1" x14ac:dyDescent="0.15">
      <c r="B39" s="435" t="s">
        <v>421</v>
      </c>
      <c r="C39" s="241" t="s">
        <v>34</v>
      </c>
      <c r="D39" s="224">
        <v>596885</v>
      </c>
      <c r="E39" s="541">
        <v>185348</v>
      </c>
      <c r="F39" s="232">
        <v>596885</v>
      </c>
      <c r="G39" s="541">
        <v>139040</v>
      </c>
      <c r="H39" s="233">
        <v>0</v>
      </c>
      <c r="I39" s="224">
        <v>81862</v>
      </c>
      <c r="J39" s="232">
        <v>0</v>
      </c>
      <c r="K39" s="232">
        <v>81862</v>
      </c>
      <c r="L39" s="232">
        <v>80201</v>
      </c>
      <c r="M39" s="233">
        <v>0</v>
      </c>
      <c r="N39" s="224">
        <v>463572</v>
      </c>
      <c r="O39" s="232">
        <v>395532</v>
      </c>
      <c r="P39" s="232">
        <v>463572</v>
      </c>
      <c r="Q39" s="232">
        <v>310547</v>
      </c>
      <c r="R39" s="233">
        <v>0</v>
      </c>
      <c r="S39" s="224">
        <v>1544778</v>
      </c>
      <c r="T39" s="232">
        <v>0</v>
      </c>
      <c r="U39" s="232">
        <v>1544778</v>
      </c>
      <c r="V39" s="232">
        <v>394357</v>
      </c>
      <c r="W39" s="233">
        <v>0</v>
      </c>
      <c r="X39" s="224">
        <f t="shared" si="82"/>
        <v>2008350</v>
      </c>
      <c r="Y39" s="226">
        <f t="shared" si="83"/>
        <v>395532</v>
      </c>
      <c r="Z39" s="226">
        <f t="shared" si="84"/>
        <v>2008350</v>
      </c>
      <c r="AA39" s="226">
        <f t="shared" si="84"/>
        <v>704904</v>
      </c>
      <c r="AB39" s="227">
        <f t="shared" si="85"/>
        <v>0</v>
      </c>
      <c r="AC39" s="224">
        <f t="shared" si="86"/>
        <v>2687097</v>
      </c>
      <c r="AD39" s="226">
        <v>2687097</v>
      </c>
      <c r="AE39" s="226">
        <f t="shared" si="87"/>
        <v>580880</v>
      </c>
      <c r="AF39" s="226">
        <f t="shared" si="88"/>
        <v>2687097</v>
      </c>
      <c r="AG39" s="226">
        <f t="shared" si="88"/>
        <v>924145</v>
      </c>
      <c r="AH39" s="227">
        <f t="shared" si="89"/>
        <v>0</v>
      </c>
      <c r="AI39" s="252" t="s">
        <v>373</v>
      </c>
      <c r="AJ39" s="253" t="s">
        <v>229</v>
      </c>
      <c r="AK39" s="253" t="s">
        <v>276</v>
      </c>
      <c r="AL39" s="253" t="s">
        <v>288</v>
      </c>
      <c r="AM39" s="254" t="s">
        <v>416</v>
      </c>
    </row>
    <row r="40" spans="2:39" ht="13.5" customHeight="1" x14ac:dyDescent="0.15">
      <c r="B40" s="435" t="s">
        <v>422</v>
      </c>
      <c r="C40" s="241" t="s">
        <v>423</v>
      </c>
      <c r="D40" s="224">
        <v>0</v>
      </c>
      <c r="E40" s="541">
        <v>78599</v>
      </c>
      <c r="F40" s="232">
        <v>0</v>
      </c>
      <c r="G40" s="541">
        <v>0</v>
      </c>
      <c r="H40" s="233">
        <v>0</v>
      </c>
      <c r="I40" s="224">
        <v>0</v>
      </c>
      <c r="J40" s="232">
        <v>-33</v>
      </c>
      <c r="K40" s="232">
        <v>0</v>
      </c>
      <c r="L40" s="232">
        <v>0</v>
      </c>
      <c r="M40" s="233">
        <v>0</v>
      </c>
      <c r="N40" s="224">
        <v>0</v>
      </c>
      <c r="O40" s="232">
        <v>7282</v>
      </c>
      <c r="P40" s="232">
        <v>0</v>
      </c>
      <c r="Q40" s="232">
        <v>0</v>
      </c>
      <c r="R40" s="233">
        <v>0</v>
      </c>
      <c r="S40" s="224">
        <v>0</v>
      </c>
      <c r="T40" s="232">
        <v>101815.92</v>
      </c>
      <c r="U40" s="232">
        <v>0</v>
      </c>
      <c r="V40" s="232">
        <v>0</v>
      </c>
      <c r="W40" s="233">
        <v>0</v>
      </c>
      <c r="X40" s="224">
        <f t="shared" si="82"/>
        <v>0</v>
      </c>
      <c r="Y40" s="226">
        <f t="shared" si="83"/>
        <v>109097.92</v>
      </c>
      <c r="Z40" s="226">
        <f t="shared" si="84"/>
        <v>0</v>
      </c>
      <c r="AA40" s="226">
        <f t="shared" si="84"/>
        <v>0</v>
      </c>
      <c r="AB40" s="227">
        <f t="shared" si="85"/>
        <v>0</v>
      </c>
      <c r="AC40" s="224">
        <f t="shared" si="86"/>
        <v>0</v>
      </c>
      <c r="AD40" s="226">
        <v>0</v>
      </c>
      <c r="AE40" s="226">
        <f t="shared" si="87"/>
        <v>187663.91999999998</v>
      </c>
      <c r="AF40" s="226">
        <f t="shared" si="88"/>
        <v>0</v>
      </c>
      <c r="AG40" s="226">
        <f t="shared" si="88"/>
        <v>0</v>
      </c>
      <c r="AH40" s="227">
        <f t="shared" si="89"/>
        <v>0</v>
      </c>
      <c r="AI40" s="252" t="s">
        <v>373</v>
      </c>
      <c r="AJ40" s="253" t="s">
        <v>229</v>
      </c>
      <c r="AK40" s="253" t="s">
        <v>276</v>
      </c>
      <c r="AL40" s="253" t="s">
        <v>288</v>
      </c>
      <c r="AM40" s="254" t="s">
        <v>416</v>
      </c>
    </row>
    <row r="41" spans="2:39" ht="13.5" customHeight="1" x14ac:dyDescent="0.15">
      <c r="B41" s="435" t="s">
        <v>425</v>
      </c>
      <c r="C41" s="241" t="s">
        <v>36</v>
      </c>
      <c r="D41" s="224">
        <v>176529</v>
      </c>
      <c r="E41" s="541">
        <v>90384</v>
      </c>
      <c r="F41" s="232">
        <v>176529</v>
      </c>
      <c r="G41" s="541">
        <v>73062</v>
      </c>
      <c r="H41" s="233">
        <v>162462</v>
      </c>
      <c r="I41" s="224">
        <v>12759</v>
      </c>
      <c r="J41" s="232">
        <v>0</v>
      </c>
      <c r="K41" s="232">
        <v>12759</v>
      </c>
      <c r="L41" s="232">
        <v>12500</v>
      </c>
      <c r="M41" s="233">
        <v>12876</v>
      </c>
      <c r="N41" s="224">
        <v>606028</v>
      </c>
      <c r="O41" s="232">
        <v>410732</v>
      </c>
      <c r="P41" s="232">
        <v>606028</v>
      </c>
      <c r="Q41" s="232">
        <v>313618</v>
      </c>
      <c r="R41" s="233">
        <v>619924</v>
      </c>
      <c r="S41" s="224">
        <v>190800</v>
      </c>
      <c r="T41" s="232">
        <v>74489</v>
      </c>
      <c r="U41" s="232">
        <v>190800</v>
      </c>
      <c r="V41" s="232">
        <v>354376</v>
      </c>
      <c r="W41" s="233">
        <v>547019</v>
      </c>
      <c r="X41" s="224">
        <f t="shared" si="82"/>
        <v>796828</v>
      </c>
      <c r="Y41" s="226">
        <f t="shared" si="83"/>
        <v>485221</v>
      </c>
      <c r="Z41" s="226">
        <f t="shared" si="84"/>
        <v>796828</v>
      </c>
      <c r="AA41" s="226">
        <f t="shared" si="84"/>
        <v>667994</v>
      </c>
      <c r="AB41" s="227">
        <f t="shared" si="85"/>
        <v>1166943</v>
      </c>
      <c r="AC41" s="224">
        <f t="shared" si="86"/>
        <v>986116</v>
      </c>
      <c r="AD41" s="226">
        <v>986116</v>
      </c>
      <c r="AE41" s="226">
        <f t="shared" si="87"/>
        <v>575605</v>
      </c>
      <c r="AF41" s="226">
        <f t="shared" si="88"/>
        <v>986116</v>
      </c>
      <c r="AG41" s="226">
        <f t="shared" si="88"/>
        <v>753556</v>
      </c>
      <c r="AH41" s="227">
        <f t="shared" si="89"/>
        <v>1342281</v>
      </c>
      <c r="AI41" s="252" t="s">
        <v>373</v>
      </c>
      <c r="AJ41" s="253" t="s">
        <v>229</v>
      </c>
      <c r="AK41" s="253" t="s">
        <v>276</v>
      </c>
      <c r="AL41" s="253" t="s">
        <v>277</v>
      </c>
      <c r="AM41" s="254" t="s">
        <v>416</v>
      </c>
    </row>
    <row r="42" spans="2:39" ht="13.5" customHeight="1" x14ac:dyDescent="0.15">
      <c r="B42" s="435" t="s">
        <v>439</v>
      </c>
      <c r="C42" s="241" t="s">
        <v>218</v>
      </c>
      <c r="D42" s="224">
        <v>772426</v>
      </c>
      <c r="E42" s="541">
        <v>312537</v>
      </c>
      <c r="F42" s="232">
        <v>772426</v>
      </c>
      <c r="G42" s="541">
        <v>219218</v>
      </c>
      <c r="H42" s="233">
        <v>127486</v>
      </c>
      <c r="I42" s="224">
        <v>81657</v>
      </c>
      <c r="J42" s="232">
        <v>164133</v>
      </c>
      <c r="K42" s="232">
        <v>81657</v>
      </c>
      <c r="L42" s="232">
        <v>80000</v>
      </c>
      <c r="M42" s="233">
        <v>26334</v>
      </c>
      <c r="N42" s="224">
        <v>1539091</v>
      </c>
      <c r="O42" s="232">
        <v>1453266</v>
      </c>
      <c r="P42" s="232">
        <v>1539091</v>
      </c>
      <c r="Q42" s="232">
        <v>1324832</v>
      </c>
      <c r="R42" s="233">
        <v>1610766</v>
      </c>
      <c r="S42" s="224">
        <v>1801480</v>
      </c>
      <c r="T42" s="232">
        <v>0</v>
      </c>
      <c r="U42" s="232">
        <v>1801480</v>
      </c>
      <c r="V42" s="232">
        <v>630223</v>
      </c>
      <c r="W42" s="233">
        <v>489390.2</v>
      </c>
      <c r="X42" s="224">
        <f t="shared" si="82"/>
        <v>3340571</v>
      </c>
      <c r="Y42" s="226">
        <f t="shared" si="83"/>
        <v>1453266</v>
      </c>
      <c r="Z42" s="226">
        <f t="shared" si="84"/>
        <v>3340571</v>
      </c>
      <c r="AA42" s="226">
        <f t="shared" si="84"/>
        <v>1955055</v>
      </c>
      <c r="AB42" s="227">
        <f>+R42+W42</f>
        <v>2100156.2000000002</v>
      </c>
      <c r="AC42" s="224">
        <f>+D42+I42+X42</f>
        <v>4194654</v>
      </c>
      <c r="AD42" s="226">
        <v>4194654</v>
      </c>
      <c r="AE42" s="226">
        <f t="shared" si="87"/>
        <v>1929936</v>
      </c>
      <c r="AF42" s="226">
        <f t="shared" si="88"/>
        <v>4194654</v>
      </c>
      <c r="AG42" s="226">
        <f t="shared" si="88"/>
        <v>2254273</v>
      </c>
      <c r="AH42" s="227">
        <f>+H42+M42+AB42</f>
        <v>2253976.2000000002</v>
      </c>
      <c r="AI42" s="252" t="s">
        <v>373</v>
      </c>
      <c r="AJ42" s="253" t="s">
        <v>331</v>
      </c>
      <c r="AK42" s="253" t="s">
        <v>276</v>
      </c>
      <c r="AL42" s="253" t="s">
        <v>277</v>
      </c>
      <c r="AM42" s="254" t="s">
        <v>440</v>
      </c>
    </row>
    <row r="43" spans="2:39" ht="13.5" customHeight="1" x14ac:dyDescent="0.15">
      <c r="B43" s="236" t="s">
        <v>314</v>
      </c>
      <c r="C43" s="237" t="s">
        <v>315</v>
      </c>
      <c r="D43" s="215">
        <f>SUM(D44:D47)</f>
        <v>539440</v>
      </c>
      <c r="E43" s="539">
        <f t="shared" ref="E43:AH43" si="90">SUM(E44:E47)</f>
        <v>265916</v>
      </c>
      <c r="F43" s="215">
        <f t="shared" si="90"/>
        <v>539440</v>
      </c>
      <c r="G43" s="539">
        <f t="shared" si="90"/>
        <v>409566</v>
      </c>
      <c r="H43" s="215">
        <f t="shared" si="90"/>
        <v>354278</v>
      </c>
      <c r="I43" s="215">
        <f t="shared" si="90"/>
        <v>398734</v>
      </c>
      <c r="J43" s="215">
        <f t="shared" si="90"/>
        <v>128100</v>
      </c>
      <c r="K43" s="215">
        <f t="shared" si="90"/>
        <v>398734</v>
      </c>
      <c r="L43" s="215">
        <f t="shared" si="90"/>
        <v>44439</v>
      </c>
      <c r="M43" s="215">
        <f t="shared" si="90"/>
        <v>45775</v>
      </c>
      <c r="N43" s="215">
        <f t="shared" si="90"/>
        <v>5902261</v>
      </c>
      <c r="O43" s="215">
        <f t="shared" si="90"/>
        <v>4149696</v>
      </c>
      <c r="P43" s="215">
        <f t="shared" si="90"/>
        <v>5902261</v>
      </c>
      <c r="Q43" s="215">
        <f t="shared" si="90"/>
        <v>3840931</v>
      </c>
      <c r="R43" s="215">
        <f t="shared" si="90"/>
        <v>3810161</v>
      </c>
      <c r="S43" s="215">
        <f t="shared" si="90"/>
        <v>1608652</v>
      </c>
      <c r="T43" s="215">
        <f t="shared" si="90"/>
        <v>2454092.84</v>
      </c>
      <c r="U43" s="215">
        <f t="shared" si="90"/>
        <v>1608652</v>
      </c>
      <c r="V43" s="215">
        <f t="shared" si="90"/>
        <v>1319299</v>
      </c>
      <c r="W43" s="215">
        <f t="shared" si="90"/>
        <v>1492506</v>
      </c>
      <c r="X43" s="215">
        <f t="shared" si="90"/>
        <v>7510913</v>
      </c>
      <c r="Y43" s="215">
        <f t="shared" si="90"/>
        <v>6603788.8399999999</v>
      </c>
      <c r="Z43" s="215">
        <f t="shared" si="90"/>
        <v>7510913</v>
      </c>
      <c r="AA43" s="215">
        <f t="shared" si="90"/>
        <v>5160230</v>
      </c>
      <c r="AB43" s="215">
        <f t="shared" si="90"/>
        <v>5302667</v>
      </c>
      <c r="AC43" s="215">
        <f t="shared" si="90"/>
        <v>8449087</v>
      </c>
      <c r="AD43" s="215">
        <f t="shared" si="90"/>
        <v>7583972</v>
      </c>
      <c r="AE43" s="215">
        <f t="shared" si="90"/>
        <v>6997804.8399999999</v>
      </c>
      <c r="AF43" s="215">
        <f t="shared" si="90"/>
        <v>8449087</v>
      </c>
      <c r="AG43" s="215">
        <f t="shared" si="90"/>
        <v>5614235</v>
      </c>
      <c r="AH43" s="215">
        <f t="shared" si="90"/>
        <v>5702720</v>
      </c>
      <c r="AI43" s="238" t="s">
        <v>273</v>
      </c>
      <c r="AJ43" s="239" t="s">
        <v>233</v>
      </c>
      <c r="AK43" s="239"/>
      <c r="AL43" s="239"/>
      <c r="AM43" s="240" t="s">
        <v>316</v>
      </c>
    </row>
    <row r="44" spans="2:39" ht="13.5" customHeight="1" x14ac:dyDescent="0.15">
      <c r="B44" s="431" t="s">
        <v>317</v>
      </c>
      <c r="C44" s="223" t="s">
        <v>78</v>
      </c>
      <c r="D44" s="224">
        <v>109389</v>
      </c>
      <c r="E44" s="540">
        <v>67474</v>
      </c>
      <c r="F44" s="226">
        <v>109389</v>
      </c>
      <c r="G44" s="554">
        <v>93210</v>
      </c>
      <c r="H44" s="227">
        <v>61029</v>
      </c>
      <c r="I44" s="224">
        <v>147658</v>
      </c>
      <c r="J44" s="225">
        <v>269</v>
      </c>
      <c r="K44" s="226">
        <v>147658</v>
      </c>
      <c r="L44" s="226"/>
      <c r="M44" s="227">
        <v>0</v>
      </c>
      <c r="N44" s="224">
        <v>1537498</v>
      </c>
      <c r="O44" s="225">
        <v>791153</v>
      </c>
      <c r="P44" s="226">
        <v>1537498</v>
      </c>
      <c r="Q44" s="226">
        <v>684121</v>
      </c>
      <c r="R44" s="227">
        <v>709148</v>
      </c>
      <c r="S44" s="224">
        <v>0</v>
      </c>
      <c r="T44" s="225">
        <v>0</v>
      </c>
      <c r="U44" s="226">
        <v>0</v>
      </c>
      <c r="V44" s="226"/>
      <c r="W44" s="227">
        <v>0</v>
      </c>
      <c r="X44" s="224">
        <f t="shared" ref="X44:AA47" si="91">+N44+S44</f>
        <v>1537498</v>
      </c>
      <c r="Y44" s="226">
        <f t="shared" si="91"/>
        <v>791153</v>
      </c>
      <c r="Z44" s="226">
        <f t="shared" si="91"/>
        <v>1537498</v>
      </c>
      <c r="AA44" s="226">
        <f t="shared" si="91"/>
        <v>684121</v>
      </c>
      <c r="AB44" s="227">
        <f t="shared" ref="AB44:AB47" si="92">+R44+W44</f>
        <v>709148</v>
      </c>
      <c r="AC44" s="224">
        <f t="shared" si="35"/>
        <v>1794545</v>
      </c>
      <c r="AD44" s="226">
        <v>1794545</v>
      </c>
      <c r="AE44" s="226">
        <f t="shared" ref="AE44:AG47" si="93">+E44+J44+Y44</f>
        <v>858896</v>
      </c>
      <c r="AF44" s="226">
        <f t="shared" si="93"/>
        <v>1794545</v>
      </c>
      <c r="AG44" s="226">
        <f t="shared" si="93"/>
        <v>777331</v>
      </c>
      <c r="AH44" s="227">
        <f t="shared" ref="AH44:AH47" si="94">+H44+M44+AB44</f>
        <v>770177</v>
      </c>
      <c r="AI44" s="228" t="s">
        <v>273</v>
      </c>
      <c r="AJ44" s="229" t="s">
        <v>233</v>
      </c>
      <c r="AK44" s="229" t="s">
        <v>291</v>
      </c>
      <c r="AL44" s="229" t="s">
        <v>277</v>
      </c>
      <c r="AM44" s="230" t="s">
        <v>278</v>
      </c>
    </row>
    <row r="45" spans="2:39" ht="13.5" customHeight="1" x14ac:dyDescent="0.15">
      <c r="B45" s="431" t="s">
        <v>318</v>
      </c>
      <c r="C45" s="223" t="s">
        <v>16</v>
      </c>
      <c r="D45" s="224">
        <v>214663</v>
      </c>
      <c r="E45" s="540">
        <v>98476</v>
      </c>
      <c r="F45" s="226">
        <v>214663</v>
      </c>
      <c r="G45" s="554">
        <v>180498</v>
      </c>
      <c r="H45" s="227">
        <v>175727</v>
      </c>
      <c r="I45" s="224">
        <v>217393</v>
      </c>
      <c r="J45" s="225">
        <v>9468</v>
      </c>
      <c r="K45" s="226">
        <v>217393</v>
      </c>
      <c r="L45" s="226">
        <v>38670</v>
      </c>
      <c r="M45" s="227">
        <v>39833</v>
      </c>
      <c r="N45" s="224">
        <v>2617882</v>
      </c>
      <c r="O45" s="225">
        <v>1872639</v>
      </c>
      <c r="P45" s="226">
        <v>2617882</v>
      </c>
      <c r="Q45" s="226">
        <v>1839504</v>
      </c>
      <c r="R45" s="227">
        <v>1807944</v>
      </c>
      <c r="S45" s="224">
        <v>1162219</v>
      </c>
      <c r="T45" s="225">
        <f>1594085.19+380596.19+59366.46</f>
        <v>2034047.8399999999</v>
      </c>
      <c r="U45" s="226">
        <v>1162219</v>
      </c>
      <c r="V45" s="226">
        <v>1116347</v>
      </c>
      <c r="W45" s="227">
        <v>1314024</v>
      </c>
      <c r="X45" s="224">
        <f t="shared" si="91"/>
        <v>3780101</v>
      </c>
      <c r="Y45" s="226">
        <f t="shared" si="91"/>
        <v>3906686.84</v>
      </c>
      <c r="Z45" s="226">
        <f t="shared" si="91"/>
        <v>3780101</v>
      </c>
      <c r="AA45" s="226">
        <f t="shared" si="91"/>
        <v>2955851</v>
      </c>
      <c r="AB45" s="227">
        <f t="shared" si="92"/>
        <v>3121968</v>
      </c>
      <c r="AC45" s="224">
        <f t="shared" si="35"/>
        <v>4212157</v>
      </c>
      <c r="AD45" s="226">
        <v>3580333</v>
      </c>
      <c r="AE45" s="226">
        <f t="shared" si="93"/>
        <v>4014630.84</v>
      </c>
      <c r="AF45" s="226">
        <f t="shared" si="93"/>
        <v>4212157</v>
      </c>
      <c r="AG45" s="226">
        <f t="shared" si="93"/>
        <v>3175019</v>
      </c>
      <c r="AH45" s="227">
        <f t="shared" si="94"/>
        <v>3337528</v>
      </c>
      <c r="AI45" s="228" t="s">
        <v>273</v>
      </c>
      <c r="AJ45" s="229" t="s">
        <v>233</v>
      </c>
      <c r="AK45" s="229" t="s">
        <v>276</v>
      </c>
      <c r="AL45" s="229" t="s">
        <v>277</v>
      </c>
      <c r="AM45" s="230" t="s">
        <v>302</v>
      </c>
    </row>
    <row r="46" spans="2:39" ht="13.5" customHeight="1" x14ac:dyDescent="0.15">
      <c r="B46" s="431" t="s">
        <v>319</v>
      </c>
      <c r="C46" s="223" t="s">
        <v>17</v>
      </c>
      <c r="D46" s="224">
        <v>124482</v>
      </c>
      <c r="E46" s="540">
        <v>47413</v>
      </c>
      <c r="F46" s="226">
        <v>124482</v>
      </c>
      <c r="G46" s="554">
        <v>68792</v>
      </c>
      <c r="H46" s="227">
        <v>68208</v>
      </c>
      <c r="I46" s="224">
        <v>5614</v>
      </c>
      <c r="J46" s="225">
        <v>118363</v>
      </c>
      <c r="K46" s="226">
        <v>5614</v>
      </c>
      <c r="L46" s="226">
        <v>5769</v>
      </c>
      <c r="M46" s="227">
        <v>5942</v>
      </c>
      <c r="N46" s="224">
        <v>978744</v>
      </c>
      <c r="O46" s="225">
        <v>1174186</v>
      </c>
      <c r="P46" s="226">
        <v>978744</v>
      </c>
      <c r="Q46" s="226">
        <v>1009731</v>
      </c>
      <c r="R46" s="227">
        <v>998569</v>
      </c>
      <c r="S46" s="224">
        <v>446433</v>
      </c>
      <c r="T46" s="225">
        <v>420045</v>
      </c>
      <c r="U46" s="226">
        <v>446433</v>
      </c>
      <c r="V46" s="226">
        <v>202952</v>
      </c>
      <c r="W46" s="227">
        <v>178482</v>
      </c>
      <c r="X46" s="224">
        <f t="shared" si="91"/>
        <v>1425177</v>
      </c>
      <c r="Y46" s="226">
        <f t="shared" si="91"/>
        <v>1594231</v>
      </c>
      <c r="Z46" s="226">
        <f t="shared" si="91"/>
        <v>1425177</v>
      </c>
      <c r="AA46" s="226">
        <f t="shared" si="91"/>
        <v>1212683</v>
      </c>
      <c r="AB46" s="227">
        <f t="shared" si="92"/>
        <v>1177051</v>
      </c>
      <c r="AC46" s="224">
        <f t="shared" si="35"/>
        <v>1555273</v>
      </c>
      <c r="AD46" s="226">
        <v>1321982</v>
      </c>
      <c r="AE46" s="226">
        <f t="shared" si="93"/>
        <v>1760007</v>
      </c>
      <c r="AF46" s="226">
        <f t="shared" si="93"/>
        <v>1555273</v>
      </c>
      <c r="AG46" s="226">
        <f t="shared" si="93"/>
        <v>1287244</v>
      </c>
      <c r="AH46" s="227">
        <f t="shared" si="94"/>
        <v>1251201</v>
      </c>
      <c r="AI46" s="228" t="s">
        <v>283</v>
      </c>
      <c r="AJ46" s="229" t="s">
        <v>233</v>
      </c>
      <c r="AK46" s="229" t="s">
        <v>276</v>
      </c>
      <c r="AL46" s="229" t="s">
        <v>277</v>
      </c>
      <c r="AM46" s="230" t="s">
        <v>304</v>
      </c>
    </row>
    <row r="47" spans="2:39" ht="13.5" customHeight="1" x14ac:dyDescent="0.15">
      <c r="B47" s="431" t="s">
        <v>320</v>
      </c>
      <c r="C47" s="223" t="s">
        <v>79</v>
      </c>
      <c r="D47" s="224">
        <v>90906</v>
      </c>
      <c r="E47" s="540">
        <v>52553</v>
      </c>
      <c r="F47" s="226">
        <v>90906</v>
      </c>
      <c r="G47" s="554">
        <v>67066</v>
      </c>
      <c r="H47" s="227">
        <v>49314</v>
      </c>
      <c r="I47" s="224">
        <v>28069</v>
      </c>
      <c r="J47" s="225">
        <v>0</v>
      </c>
      <c r="K47" s="226">
        <v>28069</v>
      </c>
      <c r="L47" s="226"/>
      <c r="M47" s="227">
        <v>0</v>
      </c>
      <c r="N47" s="224">
        <v>768137</v>
      </c>
      <c r="O47" s="225">
        <v>311718</v>
      </c>
      <c r="P47" s="226">
        <v>768137</v>
      </c>
      <c r="Q47" s="226">
        <v>307575</v>
      </c>
      <c r="R47" s="227">
        <v>294500</v>
      </c>
      <c r="S47" s="224">
        <v>0</v>
      </c>
      <c r="T47" s="225">
        <v>0</v>
      </c>
      <c r="U47" s="226">
        <v>0</v>
      </c>
      <c r="V47" s="226"/>
      <c r="W47" s="227">
        <v>0</v>
      </c>
      <c r="X47" s="224">
        <f t="shared" si="91"/>
        <v>768137</v>
      </c>
      <c r="Y47" s="226">
        <f t="shared" si="91"/>
        <v>311718</v>
      </c>
      <c r="Z47" s="226">
        <f t="shared" si="91"/>
        <v>768137</v>
      </c>
      <c r="AA47" s="226">
        <f t="shared" si="91"/>
        <v>307575</v>
      </c>
      <c r="AB47" s="227">
        <f t="shared" si="92"/>
        <v>294500</v>
      </c>
      <c r="AC47" s="224">
        <f t="shared" si="35"/>
        <v>887112</v>
      </c>
      <c r="AD47" s="226">
        <v>887112</v>
      </c>
      <c r="AE47" s="226">
        <f t="shared" si="93"/>
        <v>364271</v>
      </c>
      <c r="AF47" s="226">
        <f t="shared" si="93"/>
        <v>887112</v>
      </c>
      <c r="AG47" s="226">
        <f t="shared" si="93"/>
        <v>374641</v>
      </c>
      <c r="AH47" s="227">
        <f t="shared" si="94"/>
        <v>343814</v>
      </c>
      <c r="AI47" s="228" t="s">
        <v>273</v>
      </c>
      <c r="AJ47" s="229" t="s">
        <v>233</v>
      </c>
      <c r="AK47" s="229" t="s">
        <v>291</v>
      </c>
      <c r="AL47" s="229" t="s">
        <v>277</v>
      </c>
      <c r="AM47" s="230" t="s">
        <v>308</v>
      </c>
    </row>
    <row r="48" spans="2:39" ht="13.5" customHeight="1" x14ac:dyDescent="0.15">
      <c r="B48" s="426" t="s">
        <v>487</v>
      </c>
      <c r="C48" s="237" t="s">
        <v>426</v>
      </c>
      <c r="D48" s="215">
        <f t="shared" ref="D48:AH48" si="95">SUM(D49:D56)</f>
        <v>3664229</v>
      </c>
      <c r="E48" s="539">
        <f t="shared" si="95"/>
        <v>1995366</v>
      </c>
      <c r="F48" s="215">
        <f t="shared" si="95"/>
        <v>3664229</v>
      </c>
      <c r="G48" s="539">
        <f t="shared" ref="G48" si="96">SUM(G49:G56)</f>
        <v>1400139</v>
      </c>
      <c r="H48" s="215">
        <f t="shared" si="95"/>
        <v>1540155</v>
      </c>
      <c r="I48" s="215">
        <f t="shared" si="95"/>
        <v>405426</v>
      </c>
      <c r="J48" s="215">
        <f t="shared" si="95"/>
        <v>805326</v>
      </c>
      <c r="K48" s="215">
        <f t="shared" si="95"/>
        <v>405426</v>
      </c>
      <c r="L48" s="215">
        <f t="shared" ref="L48" si="97">SUM(L49:L56)</f>
        <v>322268</v>
      </c>
      <c r="M48" s="215">
        <f t="shared" si="95"/>
        <v>304168</v>
      </c>
      <c r="N48" s="215">
        <f t="shared" si="95"/>
        <v>6342805</v>
      </c>
      <c r="O48" s="215">
        <f t="shared" si="95"/>
        <v>8512424</v>
      </c>
      <c r="P48" s="215">
        <f t="shared" si="95"/>
        <v>6342805</v>
      </c>
      <c r="Q48" s="215">
        <f t="shared" ref="Q48" si="98">SUM(Q49:Q56)</f>
        <v>6557487</v>
      </c>
      <c r="R48" s="215">
        <f t="shared" si="95"/>
        <v>8278658</v>
      </c>
      <c r="S48" s="215">
        <f t="shared" si="95"/>
        <v>9955874</v>
      </c>
      <c r="T48" s="215">
        <f t="shared" si="95"/>
        <v>7324016</v>
      </c>
      <c r="U48" s="215">
        <f t="shared" si="95"/>
        <v>9955874</v>
      </c>
      <c r="V48" s="215">
        <f t="shared" ref="V48" si="99">SUM(V49:V56)</f>
        <v>12132891</v>
      </c>
      <c r="W48" s="215">
        <f t="shared" si="95"/>
        <v>10027560</v>
      </c>
      <c r="X48" s="215">
        <f t="shared" si="95"/>
        <v>16298679</v>
      </c>
      <c r="Y48" s="215">
        <f t="shared" si="95"/>
        <v>15836440</v>
      </c>
      <c r="Z48" s="215">
        <f t="shared" si="95"/>
        <v>16298679</v>
      </c>
      <c r="AA48" s="215">
        <f t="shared" ref="AA48" si="100">SUM(AA49:AA56)</f>
        <v>18690378</v>
      </c>
      <c r="AB48" s="215">
        <f t="shared" si="95"/>
        <v>18306218</v>
      </c>
      <c r="AC48" s="215">
        <f t="shared" si="95"/>
        <v>20368334</v>
      </c>
      <c r="AD48" s="215">
        <f t="shared" si="95"/>
        <v>20368334</v>
      </c>
      <c r="AE48" s="215">
        <f t="shared" si="95"/>
        <v>18637132</v>
      </c>
      <c r="AF48" s="215">
        <f t="shared" si="95"/>
        <v>20368334</v>
      </c>
      <c r="AG48" s="215">
        <f t="shared" ref="AG48" si="101">SUM(AG49:AG56)</f>
        <v>20412785</v>
      </c>
      <c r="AH48" s="215">
        <f t="shared" si="95"/>
        <v>20150541</v>
      </c>
      <c r="AI48" s="238"/>
      <c r="AJ48" s="239"/>
      <c r="AK48" s="249"/>
      <c r="AL48" s="249"/>
      <c r="AM48" s="240"/>
    </row>
    <row r="49" spans="2:39" ht="13.5" customHeight="1" x14ac:dyDescent="0.15">
      <c r="B49" s="434" t="s">
        <v>427</v>
      </c>
      <c r="C49" s="241" t="s">
        <v>27</v>
      </c>
      <c r="D49" s="224">
        <v>830243</v>
      </c>
      <c r="E49" s="541">
        <v>324945</v>
      </c>
      <c r="F49" s="232">
        <v>830243</v>
      </c>
      <c r="G49" s="541">
        <v>236286</v>
      </c>
      <c r="H49" s="233">
        <v>258087</v>
      </c>
      <c r="I49" s="224">
        <v>85740</v>
      </c>
      <c r="J49" s="232">
        <v>19615</v>
      </c>
      <c r="K49" s="232">
        <v>85740</v>
      </c>
      <c r="L49" s="232">
        <v>14586</v>
      </c>
      <c r="M49" s="233">
        <v>15025</v>
      </c>
      <c r="N49" s="224">
        <v>1228662</v>
      </c>
      <c r="O49" s="232">
        <v>898634</v>
      </c>
      <c r="P49" s="232">
        <v>1228662</v>
      </c>
      <c r="Q49" s="232">
        <v>1780054</v>
      </c>
      <c r="R49" s="233">
        <v>1394886</v>
      </c>
      <c r="S49" s="224">
        <v>1845138</v>
      </c>
      <c r="T49" s="232">
        <v>265689</v>
      </c>
      <c r="U49" s="232">
        <v>1845138</v>
      </c>
      <c r="V49" s="232">
        <v>3904516</v>
      </c>
      <c r="W49" s="233">
        <v>1861598</v>
      </c>
      <c r="X49" s="224">
        <f t="shared" ref="X49:AA56" si="102">+N49+S49</f>
        <v>3073800</v>
      </c>
      <c r="Y49" s="226">
        <f t="shared" si="102"/>
        <v>1164323</v>
      </c>
      <c r="Z49" s="226">
        <f t="shared" si="102"/>
        <v>3073800</v>
      </c>
      <c r="AA49" s="226">
        <f t="shared" si="102"/>
        <v>5684570</v>
      </c>
      <c r="AB49" s="227">
        <f t="shared" ref="AB49:AB56" si="103">+R49+W49</f>
        <v>3256484</v>
      </c>
      <c r="AC49" s="224">
        <f t="shared" ref="AC49:AC56" si="104">+D49+I49+X49</f>
        <v>3989783</v>
      </c>
      <c r="AD49" s="226">
        <v>3989783</v>
      </c>
      <c r="AE49" s="226">
        <f t="shared" ref="AE49:AG56" si="105">+E49+J49+Y49</f>
        <v>1508883</v>
      </c>
      <c r="AF49" s="226">
        <f t="shared" si="105"/>
        <v>3989783</v>
      </c>
      <c r="AG49" s="226">
        <f t="shared" si="105"/>
        <v>5935442</v>
      </c>
      <c r="AH49" s="227">
        <f t="shared" ref="AH49:AH56" si="106">+H49+M49+AB49</f>
        <v>3529596</v>
      </c>
      <c r="AI49" s="252" t="s">
        <v>373</v>
      </c>
      <c r="AJ49" s="253" t="s">
        <v>233</v>
      </c>
      <c r="AK49" s="253" t="s">
        <v>276</v>
      </c>
      <c r="AL49" s="253" t="s">
        <v>277</v>
      </c>
      <c r="AM49" s="254" t="s">
        <v>374</v>
      </c>
    </row>
    <row r="50" spans="2:39" ht="13.5" customHeight="1" x14ac:dyDescent="0.15">
      <c r="B50" s="434" t="s">
        <v>428</v>
      </c>
      <c r="C50" s="241" t="s">
        <v>28</v>
      </c>
      <c r="D50" s="224">
        <v>833336</v>
      </c>
      <c r="E50" s="541">
        <v>399996</v>
      </c>
      <c r="F50" s="232">
        <v>833336</v>
      </c>
      <c r="G50" s="541">
        <v>277319</v>
      </c>
      <c r="H50" s="233">
        <v>440424</v>
      </c>
      <c r="I50" s="224">
        <v>85740</v>
      </c>
      <c r="J50" s="232">
        <v>88478</v>
      </c>
      <c r="K50" s="232">
        <v>85740</v>
      </c>
      <c r="L50" s="232">
        <v>84000</v>
      </c>
      <c r="M50" s="233">
        <v>86528</v>
      </c>
      <c r="N50" s="224">
        <v>1230777</v>
      </c>
      <c r="O50" s="232">
        <v>3617811</v>
      </c>
      <c r="P50" s="232">
        <v>1230777</v>
      </c>
      <c r="Q50" s="232">
        <v>1709681</v>
      </c>
      <c r="R50" s="233">
        <v>2815069</v>
      </c>
      <c r="S50" s="224">
        <v>1955138</v>
      </c>
      <c r="T50" s="232">
        <v>3760336</v>
      </c>
      <c r="U50" s="232">
        <v>1955138</v>
      </c>
      <c r="V50" s="232">
        <v>3668123</v>
      </c>
      <c r="W50" s="233">
        <v>3335516</v>
      </c>
      <c r="X50" s="224">
        <f t="shared" si="102"/>
        <v>3185915</v>
      </c>
      <c r="Y50" s="226">
        <f t="shared" si="102"/>
        <v>7378147</v>
      </c>
      <c r="Z50" s="226">
        <f t="shared" si="102"/>
        <v>3185915</v>
      </c>
      <c r="AA50" s="226">
        <f t="shared" si="102"/>
        <v>5377804</v>
      </c>
      <c r="AB50" s="227">
        <f t="shared" si="103"/>
        <v>6150585</v>
      </c>
      <c r="AC50" s="224">
        <f t="shared" si="104"/>
        <v>4104991</v>
      </c>
      <c r="AD50" s="226">
        <v>4104991</v>
      </c>
      <c r="AE50" s="226">
        <f t="shared" si="105"/>
        <v>7866621</v>
      </c>
      <c r="AF50" s="226">
        <f t="shared" si="105"/>
        <v>4104991</v>
      </c>
      <c r="AG50" s="226">
        <f t="shared" si="105"/>
        <v>5739123</v>
      </c>
      <c r="AH50" s="227">
        <f t="shared" si="106"/>
        <v>6677537</v>
      </c>
      <c r="AI50" s="252" t="s">
        <v>373</v>
      </c>
      <c r="AJ50" s="253" t="s">
        <v>233</v>
      </c>
      <c r="AK50" s="253" t="s">
        <v>276</v>
      </c>
      <c r="AL50" s="253" t="s">
        <v>277</v>
      </c>
      <c r="AM50" s="254" t="s">
        <v>374</v>
      </c>
    </row>
    <row r="51" spans="2:39" ht="13.5" customHeight="1" x14ac:dyDescent="0.15">
      <c r="B51" s="434" t="s">
        <v>429</v>
      </c>
      <c r="C51" s="241" t="s">
        <v>29</v>
      </c>
      <c r="D51" s="224">
        <v>698853</v>
      </c>
      <c r="E51" s="541">
        <v>237859</v>
      </c>
      <c r="F51" s="232">
        <v>698853</v>
      </c>
      <c r="G51" s="541">
        <v>297542</v>
      </c>
      <c r="H51" s="233">
        <v>263990</v>
      </c>
      <c r="I51" s="224">
        <v>81657</v>
      </c>
      <c r="J51" s="232">
        <v>59766</v>
      </c>
      <c r="K51" s="232">
        <v>81657</v>
      </c>
      <c r="L51" s="232">
        <v>80000</v>
      </c>
      <c r="M51" s="233">
        <v>82407</v>
      </c>
      <c r="N51" s="224">
        <v>1481651</v>
      </c>
      <c r="O51" s="232">
        <v>1336409</v>
      </c>
      <c r="P51" s="232">
        <v>1481651</v>
      </c>
      <c r="Q51" s="232">
        <v>1312617</v>
      </c>
      <c r="R51" s="233">
        <v>1070005</v>
      </c>
      <c r="S51" s="224">
        <v>2365808</v>
      </c>
      <c r="T51" s="232">
        <v>1041581</v>
      </c>
      <c r="U51" s="232">
        <v>2365808</v>
      </c>
      <c r="V51" s="232">
        <v>2037843</v>
      </c>
      <c r="W51" s="233">
        <v>1551749</v>
      </c>
      <c r="X51" s="224">
        <f t="shared" si="102"/>
        <v>3847459</v>
      </c>
      <c r="Y51" s="226">
        <f t="shared" si="102"/>
        <v>2377990</v>
      </c>
      <c r="Z51" s="226">
        <f t="shared" si="102"/>
        <v>3847459</v>
      </c>
      <c r="AA51" s="226">
        <f t="shared" si="102"/>
        <v>3350460</v>
      </c>
      <c r="AB51" s="227">
        <f t="shared" si="103"/>
        <v>2621754</v>
      </c>
      <c r="AC51" s="224">
        <f t="shared" si="104"/>
        <v>4627969</v>
      </c>
      <c r="AD51" s="226">
        <v>4627969</v>
      </c>
      <c r="AE51" s="226">
        <f t="shared" si="105"/>
        <v>2675615</v>
      </c>
      <c r="AF51" s="226">
        <f t="shared" si="105"/>
        <v>4627969</v>
      </c>
      <c r="AG51" s="226">
        <f t="shared" si="105"/>
        <v>3728002</v>
      </c>
      <c r="AH51" s="227">
        <f t="shared" si="106"/>
        <v>2968151</v>
      </c>
      <c r="AI51" s="252" t="s">
        <v>373</v>
      </c>
      <c r="AJ51" s="253" t="s">
        <v>233</v>
      </c>
      <c r="AK51" s="253" t="s">
        <v>276</v>
      </c>
      <c r="AL51" s="253" t="s">
        <v>277</v>
      </c>
      <c r="AM51" s="254" t="s">
        <v>374</v>
      </c>
    </row>
    <row r="52" spans="2:39" ht="13.5" customHeight="1" x14ac:dyDescent="0.15">
      <c r="B52" s="434" t="s">
        <v>430</v>
      </c>
      <c r="C52" s="241" t="s">
        <v>30</v>
      </c>
      <c r="D52" s="224">
        <v>621159</v>
      </c>
      <c r="E52" s="541">
        <v>205039</v>
      </c>
      <c r="F52" s="232">
        <v>621159</v>
      </c>
      <c r="G52" s="541">
        <v>118413</v>
      </c>
      <c r="H52" s="233">
        <v>176013</v>
      </c>
      <c r="I52" s="224">
        <v>97988</v>
      </c>
      <c r="J52" s="232">
        <v>562676</v>
      </c>
      <c r="K52" s="232">
        <v>97988</v>
      </c>
      <c r="L52" s="232">
        <v>96000</v>
      </c>
      <c r="M52" s="233">
        <v>35072</v>
      </c>
      <c r="N52" s="224">
        <v>1092480</v>
      </c>
      <c r="O52" s="232">
        <v>903320</v>
      </c>
      <c r="P52" s="232">
        <v>1092480</v>
      </c>
      <c r="Q52" s="232">
        <v>522171</v>
      </c>
      <c r="R52" s="233">
        <v>968396</v>
      </c>
      <c r="S52" s="224">
        <v>1359450</v>
      </c>
      <c r="T52" s="232">
        <v>1426259</v>
      </c>
      <c r="U52" s="232">
        <v>1359450</v>
      </c>
      <c r="V52" s="232">
        <v>587215</v>
      </c>
      <c r="W52" s="233">
        <v>1121393</v>
      </c>
      <c r="X52" s="224">
        <f t="shared" si="102"/>
        <v>2451930</v>
      </c>
      <c r="Y52" s="226">
        <f t="shared" si="102"/>
        <v>2329579</v>
      </c>
      <c r="Z52" s="226">
        <f t="shared" si="102"/>
        <v>2451930</v>
      </c>
      <c r="AA52" s="226">
        <f t="shared" si="102"/>
        <v>1109386</v>
      </c>
      <c r="AB52" s="227">
        <f t="shared" si="103"/>
        <v>2089789</v>
      </c>
      <c r="AC52" s="224">
        <f t="shared" si="104"/>
        <v>3171077</v>
      </c>
      <c r="AD52" s="226">
        <v>3171077</v>
      </c>
      <c r="AE52" s="226">
        <f t="shared" si="105"/>
        <v>3097294</v>
      </c>
      <c r="AF52" s="226">
        <f t="shared" si="105"/>
        <v>3171077</v>
      </c>
      <c r="AG52" s="226">
        <f t="shared" si="105"/>
        <v>1323799</v>
      </c>
      <c r="AH52" s="227">
        <f t="shared" si="106"/>
        <v>2300874</v>
      </c>
      <c r="AI52" s="252" t="s">
        <v>373</v>
      </c>
      <c r="AJ52" s="253" t="s">
        <v>233</v>
      </c>
      <c r="AK52" s="253" t="s">
        <v>276</v>
      </c>
      <c r="AL52" s="253" t="s">
        <v>277</v>
      </c>
      <c r="AM52" s="254" t="s">
        <v>374</v>
      </c>
    </row>
    <row r="53" spans="2:39" ht="13.5" customHeight="1" x14ac:dyDescent="0.15">
      <c r="B53" s="434" t="s">
        <v>431</v>
      </c>
      <c r="C53" s="241" t="s">
        <v>31</v>
      </c>
      <c r="D53" s="224">
        <v>214771</v>
      </c>
      <c r="E53" s="541">
        <v>221853</v>
      </c>
      <c r="F53" s="232">
        <v>214771</v>
      </c>
      <c r="G53" s="541">
        <v>291214</v>
      </c>
      <c r="H53" s="233">
        <v>156576</v>
      </c>
      <c r="I53" s="224">
        <v>13473</v>
      </c>
      <c r="J53" s="232">
        <v>12424</v>
      </c>
      <c r="K53" s="232">
        <v>13473</v>
      </c>
      <c r="L53" s="232">
        <v>7682</v>
      </c>
      <c r="M53" s="233">
        <v>24175</v>
      </c>
      <c r="N53" s="224">
        <v>351890</v>
      </c>
      <c r="O53" s="232">
        <v>608729</v>
      </c>
      <c r="P53" s="232">
        <v>351890</v>
      </c>
      <c r="Q53" s="232">
        <v>753512</v>
      </c>
      <c r="R53" s="233">
        <v>930959</v>
      </c>
      <c r="S53" s="224">
        <v>520920</v>
      </c>
      <c r="T53" s="232">
        <v>106027</v>
      </c>
      <c r="U53" s="232">
        <v>520920</v>
      </c>
      <c r="V53" s="232">
        <v>1042790</v>
      </c>
      <c r="W53" s="233">
        <v>894681</v>
      </c>
      <c r="X53" s="224">
        <f t="shared" si="102"/>
        <v>872810</v>
      </c>
      <c r="Y53" s="226">
        <f t="shared" si="102"/>
        <v>714756</v>
      </c>
      <c r="Z53" s="226">
        <f t="shared" si="102"/>
        <v>872810</v>
      </c>
      <c r="AA53" s="226">
        <f t="shared" si="102"/>
        <v>1796302</v>
      </c>
      <c r="AB53" s="227">
        <f t="shared" si="103"/>
        <v>1825640</v>
      </c>
      <c r="AC53" s="224">
        <f t="shared" si="104"/>
        <v>1101054</v>
      </c>
      <c r="AD53" s="226">
        <v>1101054</v>
      </c>
      <c r="AE53" s="226">
        <f t="shared" si="105"/>
        <v>949033</v>
      </c>
      <c r="AF53" s="226">
        <f t="shared" si="105"/>
        <v>1101054</v>
      </c>
      <c r="AG53" s="226">
        <f t="shared" si="105"/>
        <v>2095198</v>
      </c>
      <c r="AH53" s="227">
        <f t="shared" si="106"/>
        <v>2006391</v>
      </c>
      <c r="AI53" s="252" t="s">
        <v>373</v>
      </c>
      <c r="AJ53" s="253" t="s">
        <v>233</v>
      </c>
      <c r="AK53" s="253" t="s">
        <v>276</v>
      </c>
      <c r="AL53" s="253" t="s">
        <v>277</v>
      </c>
      <c r="AM53" s="254" t="s">
        <v>374</v>
      </c>
    </row>
    <row r="54" spans="2:39" ht="13.5" customHeight="1" x14ac:dyDescent="0.15">
      <c r="B54" s="434" t="s">
        <v>432</v>
      </c>
      <c r="C54" s="241" t="s">
        <v>32</v>
      </c>
      <c r="D54" s="224">
        <v>465867</v>
      </c>
      <c r="E54" s="541">
        <v>391023</v>
      </c>
      <c r="F54" s="232">
        <v>465867</v>
      </c>
      <c r="G54" s="541">
        <v>179365</v>
      </c>
      <c r="H54" s="233">
        <v>132175</v>
      </c>
      <c r="I54" s="224">
        <v>40828</v>
      </c>
      <c r="J54" s="232">
        <v>60780</v>
      </c>
      <c r="K54" s="232">
        <v>40828</v>
      </c>
      <c r="L54" s="232">
        <v>40000</v>
      </c>
      <c r="M54" s="233">
        <v>11783</v>
      </c>
      <c r="N54" s="224">
        <v>957345</v>
      </c>
      <c r="O54" s="232">
        <v>1076185</v>
      </c>
      <c r="P54" s="232">
        <v>957345</v>
      </c>
      <c r="Q54" s="232">
        <v>479452</v>
      </c>
      <c r="R54" s="233">
        <v>351789</v>
      </c>
      <c r="S54" s="224">
        <v>1909420</v>
      </c>
      <c r="T54" s="232">
        <v>659206</v>
      </c>
      <c r="U54" s="232">
        <v>1909420</v>
      </c>
      <c r="V54" s="232">
        <v>892404</v>
      </c>
      <c r="W54" s="233">
        <v>652641</v>
      </c>
      <c r="X54" s="224">
        <f t="shared" si="102"/>
        <v>2866765</v>
      </c>
      <c r="Y54" s="226">
        <f t="shared" si="102"/>
        <v>1735391</v>
      </c>
      <c r="Z54" s="226">
        <f t="shared" si="102"/>
        <v>2866765</v>
      </c>
      <c r="AA54" s="226">
        <f t="shared" si="102"/>
        <v>1371856</v>
      </c>
      <c r="AB54" s="227">
        <f t="shared" si="103"/>
        <v>1004430</v>
      </c>
      <c r="AC54" s="224">
        <f t="shared" si="104"/>
        <v>3373460</v>
      </c>
      <c r="AD54" s="226">
        <v>3373460</v>
      </c>
      <c r="AE54" s="226">
        <f t="shared" si="105"/>
        <v>2187194</v>
      </c>
      <c r="AF54" s="226">
        <f t="shared" si="105"/>
        <v>3373460</v>
      </c>
      <c r="AG54" s="226">
        <f t="shared" si="105"/>
        <v>1591221</v>
      </c>
      <c r="AH54" s="227">
        <f t="shared" si="106"/>
        <v>1148388</v>
      </c>
      <c r="AI54" s="252" t="s">
        <v>373</v>
      </c>
      <c r="AJ54" s="253" t="s">
        <v>233</v>
      </c>
      <c r="AK54" s="253" t="s">
        <v>276</v>
      </c>
      <c r="AL54" s="253" t="s">
        <v>277</v>
      </c>
      <c r="AM54" s="254" t="s">
        <v>374</v>
      </c>
    </row>
    <row r="55" spans="2:39" ht="13.5" customHeight="1" x14ac:dyDescent="0.15">
      <c r="B55" s="434" t="s">
        <v>433</v>
      </c>
      <c r="C55" s="241" t="s">
        <v>434</v>
      </c>
      <c r="D55" s="224">
        <v>0</v>
      </c>
      <c r="E55" s="541">
        <v>214651</v>
      </c>
      <c r="F55" s="232">
        <v>0</v>
      </c>
      <c r="G55" s="541">
        <v>0</v>
      </c>
      <c r="H55" s="233">
        <v>0</v>
      </c>
      <c r="I55" s="224">
        <v>0</v>
      </c>
      <c r="J55" s="232">
        <v>1587</v>
      </c>
      <c r="K55" s="232">
        <v>0</v>
      </c>
      <c r="L55" s="232">
        <v>0</v>
      </c>
      <c r="M55" s="233">
        <v>0</v>
      </c>
      <c r="N55" s="224">
        <v>0</v>
      </c>
      <c r="O55" s="232">
        <v>71336</v>
      </c>
      <c r="P55" s="232">
        <v>0</v>
      </c>
      <c r="Q55" s="232">
        <v>0</v>
      </c>
      <c r="R55" s="233">
        <v>0</v>
      </c>
      <c r="S55" s="224">
        <v>0</v>
      </c>
      <c r="T55" s="232">
        <v>64918</v>
      </c>
      <c r="U55" s="232">
        <v>0</v>
      </c>
      <c r="V55" s="232">
        <v>0</v>
      </c>
      <c r="W55" s="233">
        <v>0</v>
      </c>
      <c r="X55" s="224">
        <f t="shared" si="102"/>
        <v>0</v>
      </c>
      <c r="Y55" s="226">
        <f t="shared" si="102"/>
        <v>136254</v>
      </c>
      <c r="Z55" s="226">
        <f t="shared" si="102"/>
        <v>0</v>
      </c>
      <c r="AA55" s="226">
        <f t="shared" si="102"/>
        <v>0</v>
      </c>
      <c r="AB55" s="227">
        <f t="shared" si="103"/>
        <v>0</v>
      </c>
      <c r="AC55" s="224">
        <f t="shared" si="104"/>
        <v>0</v>
      </c>
      <c r="AD55" s="226">
        <v>0</v>
      </c>
      <c r="AE55" s="226">
        <f t="shared" si="105"/>
        <v>352492</v>
      </c>
      <c r="AF55" s="226">
        <f t="shared" si="105"/>
        <v>0</v>
      </c>
      <c r="AG55" s="226">
        <f t="shared" si="105"/>
        <v>0</v>
      </c>
      <c r="AH55" s="227">
        <f t="shared" si="106"/>
        <v>0</v>
      </c>
      <c r="AI55" s="252" t="s">
        <v>373</v>
      </c>
      <c r="AJ55" s="253" t="s">
        <v>233</v>
      </c>
      <c r="AK55" s="253" t="s">
        <v>276</v>
      </c>
      <c r="AL55" s="253" t="s">
        <v>288</v>
      </c>
      <c r="AM55" s="254" t="s">
        <v>374</v>
      </c>
    </row>
    <row r="56" spans="2:39" ht="13.5" customHeight="1" x14ac:dyDescent="0.15">
      <c r="B56" s="434" t="s">
        <v>435</v>
      </c>
      <c r="C56" s="241" t="s">
        <v>436</v>
      </c>
      <c r="D56" s="224">
        <v>0</v>
      </c>
      <c r="E56" s="541">
        <v>0</v>
      </c>
      <c r="F56" s="232">
        <v>0</v>
      </c>
      <c r="G56" s="541">
        <v>0</v>
      </c>
      <c r="H56" s="233">
        <v>112890</v>
      </c>
      <c r="I56" s="224">
        <v>0</v>
      </c>
      <c r="J56" s="232">
        <v>0</v>
      </c>
      <c r="K56" s="232">
        <v>0</v>
      </c>
      <c r="L56" s="232">
        <v>0</v>
      </c>
      <c r="M56" s="233">
        <v>49178</v>
      </c>
      <c r="N56" s="224">
        <v>0</v>
      </c>
      <c r="O56" s="232">
        <v>0</v>
      </c>
      <c r="P56" s="232">
        <v>0</v>
      </c>
      <c r="Q56" s="232">
        <v>0</v>
      </c>
      <c r="R56" s="233">
        <v>747554</v>
      </c>
      <c r="S56" s="224">
        <v>0</v>
      </c>
      <c r="T56" s="232">
        <v>0</v>
      </c>
      <c r="U56" s="232">
        <v>0</v>
      </c>
      <c r="V56" s="232">
        <v>0</v>
      </c>
      <c r="W56" s="233">
        <v>609982</v>
      </c>
      <c r="X56" s="224">
        <f t="shared" si="102"/>
        <v>0</v>
      </c>
      <c r="Y56" s="226">
        <f t="shared" si="102"/>
        <v>0</v>
      </c>
      <c r="Z56" s="226">
        <f t="shared" si="102"/>
        <v>0</v>
      </c>
      <c r="AA56" s="226">
        <f t="shared" si="102"/>
        <v>0</v>
      </c>
      <c r="AB56" s="227">
        <f t="shared" si="103"/>
        <v>1357536</v>
      </c>
      <c r="AC56" s="224">
        <f t="shared" si="104"/>
        <v>0</v>
      </c>
      <c r="AD56" s="226">
        <v>0</v>
      </c>
      <c r="AE56" s="226">
        <f t="shared" si="105"/>
        <v>0</v>
      </c>
      <c r="AF56" s="226">
        <f t="shared" si="105"/>
        <v>0</v>
      </c>
      <c r="AG56" s="226">
        <f t="shared" si="105"/>
        <v>0</v>
      </c>
      <c r="AH56" s="227">
        <f t="shared" si="106"/>
        <v>1519604</v>
      </c>
      <c r="AI56" s="252" t="s">
        <v>373</v>
      </c>
      <c r="AJ56" s="253" t="s">
        <v>233</v>
      </c>
      <c r="AK56" s="253" t="s">
        <v>276</v>
      </c>
      <c r="AL56" s="253" t="s">
        <v>294</v>
      </c>
      <c r="AM56" s="253" t="s">
        <v>374</v>
      </c>
    </row>
    <row r="57" spans="2:39" ht="13.5" customHeight="1" x14ac:dyDescent="0.15">
      <c r="B57" s="236" t="s">
        <v>321</v>
      </c>
      <c r="C57" s="237" t="s">
        <v>322</v>
      </c>
      <c r="D57" s="215">
        <f t="shared" ref="D57:AH57" si="107">SUM(D58:D61)</f>
        <v>548016</v>
      </c>
      <c r="E57" s="539">
        <f t="shared" si="107"/>
        <v>214049</v>
      </c>
      <c r="F57" s="215">
        <f t="shared" si="107"/>
        <v>548016</v>
      </c>
      <c r="G57" s="539">
        <f t="shared" ref="G57" si="108">SUM(G58:G61)</f>
        <v>296917</v>
      </c>
      <c r="H57" s="215">
        <f t="shared" si="107"/>
        <v>254167</v>
      </c>
      <c r="I57" s="215">
        <f t="shared" si="107"/>
        <v>120865</v>
      </c>
      <c r="J57" s="215">
        <f t="shared" si="107"/>
        <v>16868</v>
      </c>
      <c r="K57" s="215">
        <f t="shared" si="107"/>
        <v>120865</v>
      </c>
      <c r="L57" s="215">
        <f t="shared" ref="L57" si="109">SUM(L58:L61)</f>
        <v>16868</v>
      </c>
      <c r="M57" s="215">
        <f t="shared" si="107"/>
        <v>17379</v>
      </c>
      <c r="N57" s="215">
        <f t="shared" si="107"/>
        <v>4399454</v>
      </c>
      <c r="O57" s="215">
        <f t="shared" si="107"/>
        <v>3650103</v>
      </c>
      <c r="P57" s="215">
        <f t="shared" si="107"/>
        <v>4399454</v>
      </c>
      <c r="Q57" s="215">
        <f t="shared" ref="Q57" si="110">SUM(Q58:Q61)</f>
        <v>2797209</v>
      </c>
      <c r="R57" s="215">
        <f t="shared" si="107"/>
        <v>2741393</v>
      </c>
      <c r="S57" s="215">
        <f t="shared" si="107"/>
        <v>414285</v>
      </c>
      <c r="T57" s="215">
        <f t="shared" si="107"/>
        <v>3529003</v>
      </c>
      <c r="U57" s="215">
        <f t="shared" si="107"/>
        <v>414285</v>
      </c>
      <c r="V57" s="215">
        <f t="shared" ref="V57" si="111">SUM(V58:V61)</f>
        <v>1449623</v>
      </c>
      <c r="W57" s="215">
        <f t="shared" si="107"/>
        <v>464082</v>
      </c>
      <c r="X57" s="215">
        <f t="shared" si="107"/>
        <v>4813739</v>
      </c>
      <c r="Y57" s="215">
        <f t="shared" si="107"/>
        <v>7179106</v>
      </c>
      <c r="Z57" s="215">
        <f t="shared" si="107"/>
        <v>4813739</v>
      </c>
      <c r="AA57" s="215">
        <f t="shared" ref="AA57" si="112">SUM(AA58:AA61)</f>
        <v>4246832</v>
      </c>
      <c r="AB57" s="215">
        <f t="shared" si="107"/>
        <v>3205475</v>
      </c>
      <c r="AC57" s="215">
        <f t="shared" si="107"/>
        <v>5482620</v>
      </c>
      <c r="AD57" s="215">
        <f t="shared" si="107"/>
        <v>5302620</v>
      </c>
      <c r="AE57" s="215">
        <f t="shared" si="107"/>
        <v>7410023</v>
      </c>
      <c r="AF57" s="215">
        <f t="shared" si="107"/>
        <v>5482620</v>
      </c>
      <c r="AG57" s="215">
        <f t="shared" ref="AG57" si="113">SUM(AG58:AG61)</f>
        <v>4560617</v>
      </c>
      <c r="AH57" s="215">
        <f t="shared" si="107"/>
        <v>3477021</v>
      </c>
      <c r="AI57" s="238" t="s">
        <v>273</v>
      </c>
      <c r="AJ57" s="239" t="s">
        <v>230</v>
      </c>
      <c r="AK57" s="239"/>
      <c r="AL57" s="239"/>
      <c r="AM57" s="240" t="s">
        <v>323</v>
      </c>
    </row>
    <row r="58" spans="2:39" ht="13.5" customHeight="1" x14ac:dyDescent="0.15">
      <c r="B58" s="428" t="s">
        <v>324</v>
      </c>
      <c r="C58" s="223" t="s">
        <v>80</v>
      </c>
      <c r="D58" s="224">
        <v>319261</v>
      </c>
      <c r="E58" s="540">
        <v>101877</v>
      </c>
      <c r="F58" s="226">
        <v>319261</v>
      </c>
      <c r="G58" s="554">
        <v>159793</v>
      </c>
      <c r="H58" s="227">
        <v>137791</v>
      </c>
      <c r="I58" s="224">
        <v>35725</v>
      </c>
      <c r="J58" s="225">
        <v>295</v>
      </c>
      <c r="K58" s="226">
        <v>35725</v>
      </c>
      <c r="L58" s="226">
        <v>0</v>
      </c>
      <c r="M58" s="227">
        <v>0</v>
      </c>
      <c r="N58" s="224">
        <v>2817910</v>
      </c>
      <c r="O58" s="225">
        <v>1526061</v>
      </c>
      <c r="P58" s="226">
        <v>2817910</v>
      </c>
      <c r="Q58" s="226">
        <v>1964733</v>
      </c>
      <c r="R58" s="227">
        <v>1934271</v>
      </c>
      <c r="S58" s="224">
        <v>0</v>
      </c>
      <c r="T58" s="225">
        <v>0</v>
      </c>
      <c r="U58" s="226">
        <v>0</v>
      </c>
      <c r="V58" s="226"/>
      <c r="W58" s="227">
        <v>0</v>
      </c>
      <c r="X58" s="224">
        <f t="shared" ref="X58:AA61" si="114">+N58+S58</f>
        <v>2817910</v>
      </c>
      <c r="Y58" s="226">
        <f t="shared" si="114"/>
        <v>1526061</v>
      </c>
      <c r="Z58" s="226">
        <f t="shared" si="114"/>
        <v>2817910</v>
      </c>
      <c r="AA58" s="226">
        <f t="shared" si="114"/>
        <v>1964733</v>
      </c>
      <c r="AB58" s="227">
        <f t="shared" ref="AB58:AB61" si="115">+R58+W58</f>
        <v>1934271</v>
      </c>
      <c r="AC58" s="224">
        <f t="shared" si="35"/>
        <v>3172896</v>
      </c>
      <c r="AD58" s="226">
        <v>2007896</v>
      </c>
      <c r="AE58" s="226">
        <f t="shared" ref="AE58:AG61" si="116">+E58+J58+Y58</f>
        <v>1628233</v>
      </c>
      <c r="AF58" s="226">
        <f t="shared" si="116"/>
        <v>3172896</v>
      </c>
      <c r="AG58" s="226">
        <f t="shared" si="116"/>
        <v>2124526</v>
      </c>
      <c r="AH58" s="227">
        <f t="shared" ref="AH58:AH61" si="117">+H58+M58+AB58</f>
        <v>2072062</v>
      </c>
      <c r="AI58" s="228" t="s">
        <v>273</v>
      </c>
      <c r="AJ58" s="229" t="s">
        <v>230</v>
      </c>
      <c r="AK58" s="229" t="s">
        <v>291</v>
      </c>
      <c r="AL58" s="229" t="s">
        <v>277</v>
      </c>
      <c r="AM58" s="230" t="s">
        <v>278</v>
      </c>
    </row>
    <row r="59" spans="2:39" ht="13.5" customHeight="1" x14ac:dyDescent="0.15">
      <c r="B59" s="428" t="s">
        <v>325</v>
      </c>
      <c r="C59" s="223" t="s">
        <v>18</v>
      </c>
      <c r="D59" s="224">
        <v>156167</v>
      </c>
      <c r="E59" s="540">
        <v>80390</v>
      </c>
      <c r="F59" s="226">
        <v>156167</v>
      </c>
      <c r="G59" s="554">
        <v>59472</v>
      </c>
      <c r="H59" s="227">
        <v>70614</v>
      </c>
      <c r="I59" s="224">
        <v>33525</v>
      </c>
      <c r="J59" s="225">
        <v>7050</v>
      </c>
      <c r="K59" s="226">
        <v>33525</v>
      </c>
      <c r="L59" s="226">
        <v>7345</v>
      </c>
      <c r="M59" s="227">
        <v>7569</v>
      </c>
      <c r="N59" s="224">
        <v>756217</v>
      </c>
      <c r="O59" s="225">
        <v>1737512</v>
      </c>
      <c r="P59" s="226">
        <v>756217</v>
      </c>
      <c r="Q59" s="226">
        <v>582268</v>
      </c>
      <c r="R59" s="227">
        <v>578916</v>
      </c>
      <c r="S59" s="224">
        <v>190911</v>
      </c>
      <c r="T59" s="225">
        <v>1418341</v>
      </c>
      <c r="U59" s="226">
        <v>190911</v>
      </c>
      <c r="V59" s="226">
        <v>1424094</v>
      </c>
      <c r="W59" s="227">
        <v>462672</v>
      </c>
      <c r="X59" s="224">
        <f t="shared" si="114"/>
        <v>947128</v>
      </c>
      <c r="Y59" s="226">
        <f t="shared" si="114"/>
        <v>3155853</v>
      </c>
      <c r="Z59" s="226">
        <f t="shared" si="114"/>
        <v>947128</v>
      </c>
      <c r="AA59" s="226">
        <f t="shared" si="114"/>
        <v>2006362</v>
      </c>
      <c r="AB59" s="227">
        <f t="shared" si="115"/>
        <v>1041588</v>
      </c>
      <c r="AC59" s="224">
        <f t="shared" si="35"/>
        <v>1136820</v>
      </c>
      <c r="AD59" s="226">
        <v>2121820</v>
      </c>
      <c r="AE59" s="226">
        <f t="shared" si="116"/>
        <v>3243293</v>
      </c>
      <c r="AF59" s="226">
        <f t="shared" si="116"/>
        <v>1136820</v>
      </c>
      <c r="AG59" s="226">
        <f t="shared" si="116"/>
        <v>2073179</v>
      </c>
      <c r="AH59" s="227">
        <f t="shared" si="117"/>
        <v>1119771</v>
      </c>
      <c r="AI59" s="228" t="s">
        <v>273</v>
      </c>
      <c r="AJ59" s="229" t="s">
        <v>230</v>
      </c>
      <c r="AK59" s="229" t="s">
        <v>276</v>
      </c>
      <c r="AL59" s="229" t="s">
        <v>277</v>
      </c>
      <c r="AM59" s="230" t="s">
        <v>302</v>
      </c>
    </row>
    <row r="60" spans="2:39" ht="13.5" customHeight="1" x14ac:dyDescent="0.15">
      <c r="B60" s="428" t="s">
        <v>326</v>
      </c>
      <c r="C60" s="223" t="s">
        <v>19</v>
      </c>
      <c r="D60" s="224">
        <v>72588</v>
      </c>
      <c r="E60" s="540">
        <v>31697</v>
      </c>
      <c r="F60" s="226">
        <v>72588</v>
      </c>
      <c r="G60" s="554">
        <v>39694</v>
      </c>
      <c r="H60" s="227">
        <v>18170</v>
      </c>
      <c r="I60" s="224">
        <v>51615</v>
      </c>
      <c r="J60" s="225">
        <v>9523</v>
      </c>
      <c r="K60" s="226">
        <v>51615</v>
      </c>
      <c r="L60" s="226">
        <v>9523</v>
      </c>
      <c r="M60" s="227">
        <v>9810</v>
      </c>
      <c r="N60" s="224">
        <v>488561</v>
      </c>
      <c r="O60" s="225">
        <v>252314</v>
      </c>
      <c r="P60" s="226">
        <v>488561</v>
      </c>
      <c r="Q60" s="226">
        <v>201981</v>
      </c>
      <c r="R60" s="227">
        <v>186476</v>
      </c>
      <c r="S60" s="224">
        <v>223374</v>
      </c>
      <c r="T60" s="225">
        <v>2110662</v>
      </c>
      <c r="U60" s="226">
        <v>223374</v>
      </c>
      <c r="V60" s="226">
        <v>25529</v>
      </c>
      <c r="W60" s="227">
        <v>1410</v>
      </c>
      <c r="X60" s="224">
        <f t="shared" si="114"/>
        <v>711935</v>
      </c>
      <c r="Y60" s="226">
        <f t="shared" si="114"/>
        <v>2362976</v>
      </c>
      <c r="Z60" s="226">
        <f t="shared" si="114"/>
        <v>711935</v>
      </c>
      <c r="AA60" s="226">
        <f t="shared" si="114"/>
        <v>227510</v>
      </c>
      <c r="AB60" s="227">
        <f t="shared" si="115"/>
        <v>187886</v>
      </c>
      <c r="AC60" s="224">
        <f t="shared" si="35"/>
        <v>836138</v>
      </c>
      <c r="AD60" s="226">
        <v>836138</v>
      </c>
      <c r="AE60" s="226">
        <f t="shared" si="116"/>
        <v>2404196</v>
      </c>
      <c r="AF60" s="226">
        <f t="shared" si="116"/>
        <v>836138</v>
      </c>
      <c r="AG60" s="226">
        <f t="shared" si="116"/>
        <v>276727</v>
      </c>
      <c r="AH60" s="227">
        <f t="shared" si="117"/>
        <v>215866</v>
      </c>
      <c r="AI60" s="228" t="s">
        <v>283</v>
      </c>
      <c r="AJ60" s="229" t="s">
        <v>230</v>
      </c>
      <c r="AK60" s="229" t="s">
        <v>276</v>
      </c>
      <c r="AL60" s="229" t="s">
        <v>277</v>
      </c>
      <c r="AM60" s="230" t="s">
        <v>304</v>
      </c>
    </row>
    <row r="61" spans="2:39" ht="13.5" customHeight="1" x14ac:dyDescent="0.15">
      <c r="B61" s="428" t="s">
        <v>327</v>
      </c>
      <c r="C61" s="223" t="s">
        <v>81</v>
      </c>
      <c r="D61" s="224">
        <v>0</v>
      </c>
      <c r="E61" s="540">
        <v>85</v>
      </c>
      <c r="F61" s="226">
        <v>0</v>
      </c>
      <c r="G61" s="554">
        <v>37958</v>
      </c>
      <c r="H61" s="227">
        <v>27592</v>
      </c>
      <c r="I61" s="224">
        <v>0</v>
      </c>
      <c r="J61" s="225">
        <v>0</v>
      </c>
      <c r="K61" s="226">
        <v>0</v>
      </c>
      <c r="L61" s="226"/>
      <c r="M61" s="227">
        <v>0</v>
      </c>
      <c r="N61" s="224">
        <v>336766</v>
      </c>
      <c r="O61" s="225">
        <v>134216</v>
      </c>
      <c r="P61" s="226">
        <v>336766</v>
      </c>
      <c r="Q61" s="226">
        <v>48227</v>
      </c>
      <c r="R61" s="227">
        <v>41730</v>
      </c>
      <c r="S61" s="224"/>
      <c r="T61" s="225">
        <v>0</v>
      </c>
      <c r="U61" s="226">
        <v>0</v>
      </c>
      <c r="V61" s="226"/>
      <c r="W61" s="227">
        <v>0</v>
      </c>
      <c r="X61" s="224">
        <f t="shared" si="114"/>
        <v>336766</v>
      </c>
      <c r="Y61" s="226">
        <f t="shared" si="114"/>
        <v>134216</v>
      </c>
      <c r="Z61" s="226">
        <f t="shared" si="114"/>
        <v>336766</v>
      </c>
      <c r="AA61" s="226">
        <f t="shared" si="114"/>
        <v>48227</v>
      </c>
      <c r="AB61" s="227">
        <f t="shared" si="115"/>
        <v>41730</v>
      </c>
      <c r="AC61" s="224">
        <f t="shared" si="35"/>
        <v>336766</v>
      </c>
      <c r="AD61" s="226">
        <v>336766</v>
      </c>
      <c r="AE61" s="226">
        <f t="shared" si="116"/>
        <v>134301</v>
      </c>
      <c r="AF61" s="226">
        <f t="shared" si="116"/>
        <v>336766</v>
      </c>
      <c r="AG61" s="226">
        <f t="shared" si="116"/>
        <v>86185</v>
      </c>
      <c r="AH61" s="227">
        <f t="shared" si="117"/>
        <v>69322</v>
      </c>
      <c r="AI61" s="228" t="s">
        <v>273</v>
      </c>
      <c r="AJ61" s="229" t="s">
        <v>230</v>
      </c>
      <c r="AK61" s="229" t="s">
        <v>291</v>
      </c>
      <c r="AL61" s="229" t="s">
        <v>277</v>
      </c>
      <c r="AM61" s="230" t="s">
        <v>308</v>
      </c>
    </row>
    <row r="62" spans="2:39" ht="13.5" customHeight="1" x14ac:dyDescent="0.15">
      <c r="B62" s="236" t="s">
        <v>338</v>
      </c>
      <c r="C62" s="237" t="s">
        <v>339</v>
      </c>
      <c r="D62" s="215">
        <f>SUM(D63:D66)</f>
        <v>2590736</v>
      </c>
      <c r="E62" s="539">
        <f t="shared" ref="E62:AH62" si="118">SUM(E63:E66)</f>
        <v>1010780</v>
      </c>
      <c r="F62" s="215">
        <f t="shared" si="118"/>
        <v>2590736</v>
      </c>
      <c r="G62" s="539">
        <f t="shared" ref="G62" si="119">SUM(G63:G66)</f>
        <v>749502</v>
      </c>
      <c r="H62" s="215">
        <f t="shared" si="118"/>
        <v>180728</v>
      </c>
      <c r="I62" s="215">
        <f t="shared" si="118"/>
        <v>258422</v>
      </c>
      <c r="J62" s="215">
        <f t="shared" si="118"/>
        <v>236059</v>
      </c>
      <c r="K62" s="215">
        <f t="shared" si="118"/>
        <v>258422</v>
      </c>
      <c r="L62" s="215">
        <f t="shared" ref="L62" si="120">SUM(L63:L66)</f>
        <v>55443</v>
      </c>
      <c r="M62" s="215">
        <f t="shared" si="118"/>
        <v>45398</v>
      </c>
      <c r="N62" s="215">
        <f t="shared" si="118"/>
        <v>14142984</v>
      </c>
      <c r="O62" s="215">
        <f t="shared" si="118"/>
        <v>8262594</v>
      </c>
      <c r="P62" s="215">
        <f t="shared" si="118"/>
        <v>14142984</v>
      </c>
      <c r="Q62" s="215">
        <f t="shared" ref="Q62" si="121">SUM(Q63:Q66)</f>
        <v>14004713</v>
      </c>
      <c r="R62" s="215">
        <f t="shared" si="118"/>
        <v>1339040</v>
      </c>
      <c r="S62" s="215">
        <f t="shared" si="118"/>
        <v>0</v>
      </c>
      <c r="T62" s="215">
        <f t="shared" si="118"/>
        <v>0</v>
      </c>
      <c r="U62" s="215">
        <f t="shared" si="118"/>
        <v>0</v>
      </c>
      <c r="V62" s="215">
        <f t="shared" ref="V62" si="122">SUM(V63:V66)</f>
        <v>0</v>
      </c>
      <c r="W62" s="215">
        <f t="shared" si="118"/>
        <v>0</v>
      </c>
      <c r="X62" s="215">
        <f t="shared" si="118"/>
        <v>14142984</v>
      </c>
      <c r="Y62" s="215">
        <f t="shared" si="118"/>
        <v>8262594</v>
      </c>
      <c r="Z62" s="215">
        <f t="shared" si="118"/>
        <v>14142984</v>
      </c>
      <c r="AA62" s="215">
        <f t="shared" ref="AA62" si="123">SUM(AA63:AA66)</f>
        <v>14004713</v>
      </c>
      <c r="AB62" s="215">
        <f t="shared" si="118"/>
        <v>1339040</v>
      </c>
      <c r="AC62" s="215">
        <f t="shared" si="118"/>
        <v>16992142</v>
      </c>
      <c r="AD62" s="215">
        <f t="shared" si="118"/>
        <v>16992142</v>
      </c>
      <c r="AE62" s="215">
        <f t="shared" si="118"/>
        <v>9509433</v>
      </c>
      <c r="AF62" s="215">
        <f t="shared" si="118"/>
        <v>16992142</v>
      </c>
      <c r="AG62" s="215">
        <f t="shared" ref="AG62" si="124">SUM(AG63:AG66)</f>
        <v>14809658</v>
      </c>
      <c r="AH62" s="215">
        <f t="shared" si="118"/>
        <v>1565166</v>
      </c>
      <c r="AI62" s="238" t="s">
        <v>283</v>
      </c>
      <c r="AJ62" s="239" t="s">
        <v>331</v>
      </c>
      <c r="AK62" s="239"/>
      <c r="AL62" s="239"/>
      <c r="AM62" s="240" t="s">
        <v>340</v>
      </c>
    </row>
    <row r="63" spans="2:39" ht="13.5" customHeight="1" x14ac:dyDescent="0.15">
      <c r="B63" s="427" t="s">
        <v>341</v>
      </c>
      <c r="C63" s="223" t="s">
        <v>82</v>
      </c>
      <c r="D63" s="224">
        <v>2281345</v>
      </c>
      <c r="E63" s="540">
        <v>772465</v>
      </c>
      <c r="F63" s="226">
        <v>2281345</v>
      </c>
      <c r="G63" s="554">
        <v>688274</v>
      </c>
      <c r="H63" s="227">
        <v>175187</v>
      </c>
      <c r="I63" s="224">
        <v>215352</v>
      </c>
      <c r="J63" s="225">
        <v>46337</v>
      </c>
      <c r="K63" s="226">
        <v>215352</v>
      </c>
      <c r="L63" s="226">
        <v>46337</v>
      </c>
      <c r="M63" s="227">
        <v>45398</v>
      </c>
      <c r="N63" s="224">
        <f>2158639+11000000</f>
        <v>13158639</v>
      </c>
      <c r="O63" s="225">
        <f>3693091+1374021</f>
        <v>5067112</v>
      </c>
      <c r="P63" s="226">
        <f>2158639+11000000</f>
        <v>13158639</v>
      </c>
      <c r="Q63" s="226">
        <f>1899170+11000000</f>
        <v>12899170</v>
      </c>
      <c r="R63" s="227">
        <v>1207582</v>
      </c>
      <c r="S63" s="224">
        <v>0</v>
      </c>
      <c r="T63" s="226">
        <v>0</v>
      </c>
      <c r="U63" s="226">
        <v>0</v>
      </c>
      <c r="V63" s="226"/>
      <c r="W63" s="227">
        <v>0</v>
      </c>
      <c r="X63" s="224">
        <f t="shared" ref="X63:AA65" si="125">+N63+S63</f>
        <v>13158639</v>
      </c>
      <c r="Y63" s="226">
        <f t="shared" si="125"/>
        <v>5067112</v>
      </c>
      <c r="Z63" s="226">
        <f t="shared" si="125"/>
        <v>13158639</v>
      </c>
      <c r="AA63" s="226">
        <f t="shared" si="125"/>
        <v>12899170</v>
      </c>
      <c r="AB63" s="227">
        <f t="shared" ref="AB63:AB65" si="126">+R63+W63</f>
        <v>1207582</v>
      </c>
      <c r="AC63" s="224">
        <f t="shared" si="35"/>
        <v>15655336</v>
      </c>
      <c r="AD63" s="226">
        <v>15655336</v>
      </c>
      <c r="AE63" s="226">
        <f t="shared" ref="AE63:AG66" si="127">+E63+J63+Y63</f>
        <v>5885914</v>
      </c>
      <c r="AF63" s="226">
        <f t="shared" si="127"/>
        <v>15655336</v>
      </c>
      <c r="AG63" s="226">
        <f t="shared" si="127"/>
        <v>13633781</v>
      </c>
      <c r="AH63" s="227">
        <f t="shared" ref="AH63:AH65" si="128">+H63+M63+AB63</f>
        <v>1428167</v>
      </c>
      <c r="AI63" s="228" t="s">
        <v>283</v>
      </c>
      <c r="AJ63" s="229" t="s">
        <v>331</v>
      </c>
      <c r="AK63" s="229" t="s">
        <v>276</v>
      </c>
      <c r="AL63" s="229" t="s">
        <v>277</v>
      </c>
      <c r="AM63" s="230" t="s">
        <v>340</v>
      </c>
    </row>
    <row r="64" spans="2:39" ht="13.5" customHeight="1" x14ac:dyDescent="0.15">
      <c r="B64" s="427" t="s">
        <v>342</v>
      </c>
      <c r="C64" s="223" t="s">
        <v>83</v>
      </c>
      <c r="D64" s="224">
        <v>94805</v>
      </c>
      <c r="E64" s="540">
        <v>35266</v>
      </c>
      <c r="F64" s="226">
        <v>94805</v>
      </c>
      <c r="G64" s="554">
        <v>33611</v>
      </c>
      <c r="H64" s="227">
        <v>0</v>
      </c>
      <c r="I64" s="224">
        <v>43070</v>
      </c>
      <c r="J64" s="225">
        <v>-136734</v>
      </c>
      <c r="K64" s="226">
        <v>43070</v>
      </c>
      <c r="L64" s="226">
        <v>9106</v>
      </c>
      <c r="M64" s="227">
        <v>0</v>
      </c>
      <c r="N64" s="224">
        <f>301557+200000</f>
        <v>501557</v>
      </c>
      <c r="O64" s="225">
        <v>1176271</v>
      </c>
      <c r="P64" s="226">
        <f>301557+200000</f>
        <v>501557</v>
      </c>
      <c r="Q64" s="226">
        <f>200000+789936</f>
        <v>989936</v>
      </c>
      <c r="R64" s="227">
        <v>0</v>
      </c>
      <c r="S64" s="224">
        <v>0</v>
      </c>
      <c r="T64" s="226">
        <v>0</v>
      </c>
      <c r="U64" s="226">
        <v>0</v>
      </c>
      <c r="V64" s="226"/>
      <c r="W64" s="227">
        <v>0</v>
      </c>
      <c r="X64" s="224">
        <f t="shared" si="125"/>
        <v>501557</v>
      </c>
      <c r="Y64" s="226">
        <f t="shared" si="125"/>
        <v>1176271</v>
      </c>
      <c r="Z64" s="226">
        <f t="shared" si="125"/>
        <v>501557</v>
      </c>
      <c r="AA64" s="226">
        <f t="shared" si="125"/>
        <v>989936</v>
      </c>
      <c r="AB64" s="227">
        <f t="shared" si="126"/>
        <v>0</v>
      </c>
      <c r="AC64" s="224">
        <f t="shared" si="35"/>
        <v>639432</v>
      </c>
      <c r="AD64" s="226">
        <v>639432</v>
      </c>
      <c r="AE64" s="226">
        <f t="shared" si="127"/>
        <v>1074803</v>
      </c>
      <c r="AF64" s="226">
        <f t="shared" si="127"/>
        <v>639432</v>
      </c>
      <c r="AG64" s="226">
        <f t="shared" si="127"/>
        <v>1032653</v>
      </c>
      <c r="AH64" s="227">
        <f t="shared" si="128"/>
        <v>0</v>
      </c>
      <c r="AI64" s="228" t="s">
        <v>283</v>
      </c>
      <c r="AJ64" s="229" t="s">
        <v>331</v>
      </c>
      <c r="AK64" s="229" t="s">
        <v>276</v>
      </c>
      <c r="AL64" s="229" t="s">
        <v>288</v>
      </c>
      <c r="AM64" s="230" t="s">
        <v>340</v>
      </c>
    </row>
    <row r="65" spans="2:39" ht="13.5" customHeight="1" x14ac:dyDescent="0.15">
      <c r="B65" s="427" t="s">
        <v>343</v>
      </c>
      <c r="C65" s="223" t="s">
        <v>344</v>
      </c>
      <c r="D65" s="224">
        <v>0</v>
      </c>
      <c r="E65" s="540">
        <v>140039</v>
      </c>
      <c r="F65" s="226">
        <v>0</v>
      </c>
      <c r="G65" s="554">
        <v>0</v>
      </c>
      <c r="H65" s="242">
        <v>0</v>
      </c>
      <c r="I65" s="224">
        <v>0</v>
      </c>
      <c r="J65" s="225">
        <v>326456</v>
      </c>
      <c r="K65" s="226">
        <v>0</v>
      </c>
      <c r="L65" s="226">
        <v>0</v>
      </c>
      <c r="M65" s="242">
        <v>0</v>
      </c>
      <c r="N65" s="224">
        <v>0</v>
      </c>
      <c r="O65" s="225">
        <v>1771129</v>
      </c>
      <c r="P65" s="226">
        <v>0</v>
      </c>
      <c r="Q65" s="226">
        <v>0</v>
      </c>
      <c r="R65" s="242">
        <v>0</v>
      </c>
      <c r="S65" s="224">
        <v>0</v>
      </c>
      <c r="T65" s="243">
        <v>0</v>
      </c>
      <c r="U65" s="243">
        <v>0</v>
      </c>
      <c r="V65" s="226">
        <v>0</v>
      </c>
      <c r="W65" s="242">
        <v>0</v>
      </c>
      <c r="X65" s="224">
        <f t="shared" si="125"/>
        <v>0</v>
      </c>
      <c r="Y65" s="226">
        <f t="shared" si="125"/>
        <v>1771129</v>
      </c>
      <c r="Z65" s="226">
        <f t="shared" si="125"/>
        <v>0</v>
      </c>
      <c r="AA65" s="226">
        <f t="shared" si="125"/>
        <v>0</v>
      </c>
      <c r="AB65" s="227">
        <f t="shared" si="126"/>
        <v>0</v>
      </c>
      <c r="AC65" s="224">
        <f t="shared" si="35"/>
        <v>0</v>
      </c>
      <c r="AD65" s="226">
        <v>0</v>
      </c>
      <c r="AE65" s="226">
        <f t="shared" si="127"/>
        <v>2237624</v>
      </c>
      <c r="AF65" s="226">
        <f t="shared" si="127"/>
        <v>0</v>
      </c>
      <c r="AG65" s="226">
        <f t="shared" si="127"/>
        <v>0</v>
      </c>
      <c r="AH65" s="227">
        <f t="shared" si="128"/>
        <v>0</v>
      </c>
      <c r="AI65" s="228" t="s">
        <v>283</v>
      </c>
      <c r="AJ65" s="229" t="s">
        <v>331</v>
      </c>
      <c r="AK65" s="229" t="s">
        <v>276</v>
      </c>
      <c r="AL65" s="229" t="s">
        <v>345</v>
      </c>
      <c r="AM65" s="230" t="s">
        <v>340</v>
      </c>
    </row>
    <row r="66" spans="2:39" ht="13.5" customHeight="1" x14ac:dyDescent="0.15">
      <c r="B66" s="441" t="s">
        <v>336</v>
      </c>
      <c r="C66" s="245" t="s">
        <v>93</v>
      </c>
      <c r="D66" s="231">
        <v>214586</v>
      </c>
      <c r="E66" s="543">
        <v>63010</v>
      </c>
      <c r="F66" s="232">
        <v>214586</v>
      </c>
      <c r="G66" s="541">
        <v>27617</v>
      </c>
      <c r="H66" s="233">
        <v>5541</v>
      </c>
      <c r="I66" s="231">
        <v>0</v>
      </c>
      <c r="J66" s="232">
        <v>0</v>
      </c>
      <c r="K66" s="232">
        <v>0</v>
      </c>
      <c r="L66" s="232"/>
      <c r="M66" s="233">
        <v>0</v>
      </c>
      <c r="N66" s="231">
        <v>482788</v>
      </c>
      <c r="O66" s="443">
        <v>248082</v>
      </c>
      <c r="P66" s="232">
        <v>482788</v>
      </c>
      <c r="Q66" s="232">
        <v>115607</v>
      </c>
      <c r="R66" s="233">
        <v>131458</v>
      </c>
      <c r="S66" s="231">
        <v>0</v>
      </c>
      <c r="T66" s="232">
        <v>0</v>
      </c>
      <c r="U66" s="232">
        <v>0</v>
      </c>
      <c r="V66" s="232"/>
      <c r="W66" s="233">
        <v>0</v>
      </c>
      <c r="X66" s="231">
        <f t="shared" ref="X66" si="129">+N66+S66</f>
        <v>482788</v>
      </c>
      <c r="Y66" s="232">
        <f>+O66+T66</f>
        <v>248082</v>
      </c>
      <c r="Z66" s="232">
        <f>+P66+U66</f>
        <v>482788</v>
      </c>
      <c r="AA66" s="232">
        <f>+Q66+V66</f>
        <v>115607</v>
      </c>
      <c r="AB66" s="233">
        <f t="shared" ref="AB66" si="130">+R66+W66</f>
        <v>131458</v>
      </c>
      <c r="AC66" s="231">
        <f>+D66+I66+X66</f>
        <v>697374</v>
      </c>
      <c r="AD66" s="232">
        <v>697374</v>
      </c>
      <c r="AE66" s="232">
        <f t="shared" si="127"/>
        <v>311092</v>
      </c>
      <c r="AF66" s="232">
        <f t="shared" si="127"/>
        <v>697374</v>
      </c>
      <c r="AG66" s="232">
        <f t="shared" si="127"/>
        <v>143224</v>
      </c>
      <c r="AH66" s="233">
        <f t="shared" ref="AH66" si="131">+H66+M66+AB66</f>
        <v>136999</v>
      </c>
      <c r="AI66" s="252" t="s">
        <v>283</v>
      </c>
      <c r="AJ66" s="253" t="s">
        <v>331</v>
      </c>
      <c r="AK66" s="253" t="s">
        <v>291</v>
      </c>
      <c r="AL66" s="253" t="s">
        <v>277</v>
      </c>
      <c r="AM66" s="254" t="s">
        <v>337</v>
      </c>
    </row>
    <row r="67" spans="2:39" ht="13.5" customHeight="1" x14ac:dyDescent="0.15">
      <c r="B67" s="236" t="s">
        <v>186</v>
      </c>
      <c r="C67" s="237" t="s">
        <v>346</v>
      </c>
      <c r="D67" s="215">
        <f>SUM(D68:D72)</f>
        <v>1135922</v>
      </c>
      <c r="E67" s="539">
        <f t="shared" ref="E67:AH67" si="132">SUM(E68:E72)</f>
        <v>514973</v>
      </c>
      <c r="F67" s="215">
        <f t="shared" si="132"/>
        <v>1135922</v>
      </c>
      <c r="G67" s="539">
        <f t="shared" si="132"/>
        <v>470902</v>
      </c>
      <c r="H67" s="215">
        <f t="shared" si="132"/>
        <v>509158</v>
      </c>
      <c r="I67" s="215">
        <f t="shared" si="132"/>
        <v>0</v>
      </c>
      <c r="J67" s="215">
        <f t="shared" si="132"/>
        <v>276</v>
      </c>
      <c r="K67" s="215">
        <f t="shared" si="132"/>
        <v>0</v>
      </c>
      <c r="L67" s="215">
        <f t="shared" si="132"/>
        <v>0</v>
      </c>
      <c r="M67" s="215">
        <f t="shared" si="132"/>
        <v>0</v>
      </c>
      <c r="N67" s="215">
        <f t="shared" si="132"/>
        <v>4841929</v>
      </c>
      <c r="O67" s="215">
        <f t="shared" si="132"/>
        <v>6092713</v>
      </c>
      <c r="P67" s="215">
        <f t="shared" si="132"/>
        <v>4841929</v>
      </c>
      <c r="Q67" s="215">
        <f t="shared" si="132"/>
        <v>5191635</v>
      </c>
      <c r="R67" s="215">
        <f t="shared" si="132"/>
        <v>5152090</v>
      </c>
      <c r="S67" s="215">
        <f t="shared" si="132"/>
        <v>0</v>
      </c>
      <c r="T67" s="215">
        <f t="shared" si="132"/>
        <v>0</v>
      </c>
      <c r="U67" s="215">
        <f t="shared" si="132"/>
        <v>0</v>
      </c>
      <c r="V67" s="215">
        <f t="shared" si="132"/>
        <v>0</v>
      </c>
      <c r="W67" s="215">
        <f t="shared" si="132"/>
        <v>0</v>
      </c>
      <c r="X67" s="215">
        <f t="shared" si="132"/>
        <v>4841929</v>
      </c>
      <c r="Y67" s="215">
        <f t="shared" si="132"/>
        <v>6092713</v>
      </c>
      <c r="Z67" s="215">
        <f t="shared" si="132"/>
        <v>4841929</v>
      </c>
      <c r="AA67" s="215">
        <f t="shared" si="132"/>
        <v>5191635</v>
      </c>
      <c r="AB67" s="215">
        <f t="shared" si="132"/>
        <v>5152090</v>
      </c>
      <c r="AC67" s="215">
        <f t="shared" si="132"/>
        <v>5977851</v>
      </c>
      <c r="AD67" s="215">
        <f t="shared" si="132"/>
        <v>5977851</v>
      </c>
      <c r="AE67" s="215">
        <f t="shared" si="132"/>
        <v>6607962</v>
      </c>
      <c r="AF67" s="215">
        <f t="shared" si="132"/>
        <v>5977851</v>
      </c>
      <c r="AG67" s="215">
        <f t="shared" si="132"/>
        <v>5662537</v>
      </c>
      <c r="AH67" s="215">
        <f t="shared" si="132"/>
        <v>5661248</v>
      </c>
      <c r="AI67" s="238" t="s">
        <v>283</v>
      </c>
      <c r="AJ67" s="239" t="s">
        <v>331</v>
      </c>
      <c r="AK67" s="239"/>
      <c r="AL67" s="239"/>
      <c r="AM67" s="240" t="s">
        <v>69</v>
      </c>
    </row>
    <row r="68" spans="2:39" ht="13.5" customHeight="1" x14ac:dyDescent="0.15">
      <c r="B68" s="427" t="s">
        <v>347</v>
      </c>
      <c r="C68" s="223" t="s">
        <v>348</v>
      </c>
      <c r="D68" s="224">
        <v>330450</v>
      </c>
      <c r="E68" s="540">
        <v>125056</v>
      </c>
      <c r="F68" s="226">
        <v>330450</v>
      </c>
      <c r="G68" s="554">
        <v>136561</v>
      </c>
      <c r="H68" s="227">
        <f>509158*F68/$F$67</f>
        <v>148118.67460970031</v>
      </c>
      <c r="I68" s="224">
        <v>0</v>
      </c>
      <c r="J68" s="225">
        <v>0</v>
      </c>
      <c r="K68" s="226">
        <v>0</v>
      </c>
      <c r="L68" s="226"/>
      <c r="M68" s="227">
        <v>0</v>
      </c>
      <c r="N68" s="224">
        <v>1408794</v>
      </c>
      <c r="O68" s="225">
        <v>1554176</v>
      </c>
      <c r="P68" s="226">
        <v>1408794</v>
      </c>
      <c r="Q68" s="226">
        <v>764785</v>
      </c>
      <c r="R68" s="227">
        <f>5152090*P68/$P$67</f>
        <v>1499037.5694191302</v>
      </c>
      <c r="S68" s="224">
        <v>0</v>
      </c>
      <c r="T68" s="226">
        <v>0</v>
      </c>
      <c r="U68" s="226">
        <v>0</v>
      </c>
      <c r="V68" s="226"/>
      <c r="W68" s="227">
        <v>0</v>
      </c>
      <c r="X68" s="224">
        <f t="shared" ref="X68:AA72" si="133">+N68+S68</f>
        <v>1408794</v>
      </c>
      <c r="Y68" s="226">
        <f t="shared" si="133"/>
        <v>1554176</v>
      </c>
      <c r="Z68" s="226">
        <f t="shared" si="133"/>
        <v>1408794</v>
      </c>
      <c r="AA68" s="226">
        <f t="shared" si="133"/>
        <v>764785</v>
      </c>
      <c r="AB68" s="227">
        <f t="shared" ref="AB68:AB72" si="134">+R68+W68</f>
        <v>1499037.5694191302</v>
      </c>
      <c r="AC68" s="224">
        <f t="shared" si="35"/>
        <v>1739244</v>
      </c>
      <c r="AD68" s="226">
        <v>1739244</v>
      </c>
      <c r="AE68" s="226">
        <f t="shared" ref="AE68:AG72" si="135">+E68+J68+Y68</f>
        <v>1679232</v>
      </c>
      <c r="AF68" s="226">
        <f t="shared" si="135"/>
        <v>1739244</v>
      </c>
      <c r="AG68" s="226">
        <f t="shared" si="135"/>
        <v>901346</v>
      </c>
      <c r="AH68" s="227">
        <f t="shared" ref="AH68:AH72" si="136">+H68+M68+AB68</f>
        <v>1647156.2440288304</v>
      </c>
      <c r="AI68" s="228" t="s">
        <v>283</v>
      </c>
      <c r="AJ68" s="229" t="s">
        <v>331</v>
      </c>
      <c r="AK68" s="229" t="s">
        <v>232</v>
      </c>
      <c r="AL68" s="229" t="s">
        <v>277</v>
      </c>
      <c r="AM68" s="230" t="s">
        <v>69</v>
      </c>
    </row>
    <row r="69" spans="2:39" ht="13.5" customHeight="1" x14ac:dyDescent="0.15">
      <c r="B69" s="427" t="s">
        <v>349</v>
      </c>
      <c r="C69" s="223" t="s">
        <v>350</v>
      </c>
      <c r="D69" s="224">
        <v>330450</v>
      </c>
      <c r="E69" s="540">
        <v>132078</v>
      </c>
      <c r="F69" s="226">
        <v>330450</v>
      </c>
      <c r="G69" s="554">
        <v>136562</v>
      </c>
      <c r="H69" s="227">
        <f t="shared" ref="H69:H72" si="137">509158*F69/$F$67</f>
        <v>148118.67460970031</v>
      </c>
      <c r="I69" s="224">
        <v>0</v>
      </c>
      <c r="J69" s="225">
        <v>0</v>
      </c>
      <c r="K69" s="226">
        <v>0</v>
      </c>
      <c r="L69" s="226"/>
      <c r="M69" s="227">
        <v>0</v>
      </c>
      <c r="N69" s="224">
        <v>1408794</v>
      </c>
      <c r="O69" s="225">
        <v>1811882</v>
      </c>
      <c r="P69" s="226">
        <v>1408794</v>
      </c>
      <c r="Q69" s="226">
        <v>2136817</v>
      </c>
      <c r="R69" s="227">
        <f t="shared" ref="R69:R72" si="138">5152090*P69/$P$67</f>
        <v>1499037.5694191302</v>
      </c>
      <c r="S69" s="224">
        <v>0</v>
      </c>
      <c r="T69" s="226">
        <v>0</v>
      </c>
      <c r="U69" s="226">
        <v>0</v>
      </c>
      <c r="V69" s="226"/>
      <c r="W69" s="227">
        <v>0</v>
      </c>
      <c r="X69" s="224">
        <f t="shared" si="133"/>
        <v>1408794</v>
      </c>
      <c r="Y69" s="226">
        <f t="shared" si="133"/>
        <v>1811882</v>
      </c>
      <c r="Z69" s="226">
        <f t="shared" si="133"/>
        <v>1408794</v>
      </c>
      <c r="AA69" s="226">
        <f t="shared" si="133"/>
        <v>2136817</v>
      </c>
      <c r="AB69" s="227">
        <f t="shared" si="134"/>
        <v>1499037.5694191302</v>
      </c>
      <c r="AC69" s="224">
        <f t="shared" si="35"/>
        <v>1739244</v>
      </c>
      <c r="AD69" s="226">
        <v>1739244</v>
      </c>
      <c r="AE69" s="226">
        <f t="shared" si="135"/>
        <v>1943960</v>
      </c>
      <c r="AF69" s="226">
        <f t="shared" si="135"/>
        <v>1739244</v>
      </c>
      <c r="AG69" s="226">
        <f t="shared" si="135"/>
        <v>2273379</v>
      </c>
      <c r="AH69" s="227">
        <f t="shared" si="136"/>
        <v>1647156.2440288304</v>
      </c>
      <c r="AI69" s="228" t="s">
        <v>283</v>
      </c>
      <c r="AJ69" s="229" t="s">
        <v>331</v>
      </c>
      <c r="AK69" s="229" t="s">
        <v>232</v>
      </c>
      <c r="AL69" s="229" t="s">
        <v>277</v>
      </c>
      <c r="AM69" s="230" t="s">
        <v>69</v>
      </c>
    </row>
    <row r="70" spans="2:39" ht="13.5" customHeight="1" x14ac:dyDescent="0.15">
      <c r="B70" s="427" t="s">
        <v>351</v>
      </c>
      <c r="C70" s="223" t="s">
        <v>352</v>
      </c>
      <c r="D70" s="224">
        <v>154898</v>
      </c>
      <c r="E70" s="540">
        <v>80568</v>
      </c>
      <c r="F70" s="226">
        <v>154898</v>
      </c>
      <c r="G70" s="554">
        <v>65926</v>
      </c>
      <c r="H70" s="227">
        <f t="shared" si="137"/>
        <v>69430.432621253931</v>
      </c>
      <c r="I70" s="224">
        <v>0</v>
      </c>
      <c r="J70" s="225">
        <v>276</v>
      </c>
      <c r="K70" s="226">
        <v>0</v>
      </c>
      <c r="L70" s="226"/>
      <c r="M70" s="227">
        <v>0</v>
      </c>
      <c r="N70" s="224">
        <v>660372</v>
      </c>
      <c r="O70" s="225">
        <v>2048299</v>
      </c>
      <c r="P70" s="226">
        <v>660372</v>
      </c>
      <c r="Q70" s="226">
        <v>746245</v>
      </c>
      <c r="R70" s="227">
        <f t="shared" si="138"/>
        <v>702673.66115446959</v>
      </c>
      <c r="S70" s="224">
        <v>0</v>
      </c>
      <c r="T70" s="226">
        <v>0</v>
      </c>
      <c r="U70" s="226">
        <v>0</v>
      </c>
      <c r="V70" s="226"/>
      <c r="W70" s="227">
        <v>0</v>
      </c>
      <c r="X70" s="224">
        <f t="shared" si="133"/>
        <v>660372</v>
      </c>
      <c r="Y70" s="226">
        <f t="shared" si="133"/>
        <v>2048299</v>
      </c>
      <c r="Z70" s="226">
        <f t="shared" si="133"/>
        <v>660372</v>
      </c>
      <c r="AA70" s="226">
        <f t="shared" si="133"/>
        <v>746245</v>
      </c>
      <c r="AB70" s="227">
        <f t="shared" si="134"/>
        <v>702673.66115446959</v>
      </c>
      <c r="AC70" s="224">
        <f t="shared" si="35"/>
        <v>815270</v>
      </c>
      <c r="AD70" s="226">
        <v>815270</v>
      </c>
      <c r="AE70" s="226">
        <f t="shared" si="135"/>
        <v>2129143</v>
      </c>
      <c r="AF70" s="226">
        <f t="shared" si="135"/>
        <v>815270</v>
      </c>
      <c r="AG70" s="226">
        <f t="shared" si="135"/>
        <v>812171</v>
      </c>
      <c r="AH70" s="227">
        <f t="shared" si="136"/>
        <v>772104.09377572348</v>
      </c>
      <c r="AI70" s="228" t="s">
        <v>283</v>
      </c>
      <c r="AJ70" s="229" t="s">
        <v>331</v>
      </c>
      <c r="AK70" s="229" t="s">
        <v>232</v>
      </c>
      <c r="AL70" s="229" t="s">
        <v>277</v>
      </c>
      <c r="AM70" s="230" t="s">
        <v>69</v>
      </c>
    </row>
    <row r="71" spans="2:39" ht="13.5" customHeight="1" x14ac:dyDescent="0.15">
      <c r="B71" s="427" t="s">
        <v>353</v>
      </c>
      <c r="C71" s="223" t="s">
        <v>354</v>
      </c>
      <c r="D71" s="224">
        <v>103266</v>
      </c>
      <c r="E71" s="540">
        <v>65774</v>
      </c>
      <c r="F71" s="226">
        <v>103266</v>
      </c>
      <c r="G71" s="554">
        <v>42381</v>
      </c>
      <c r="H71" s="227">
        <f t="shared" si="137"/>
        <v>46287.253902996861</v>
      </c>
      <c r="I71" s="224">
        <v>0</v>
      </c>
      <c r="J71" s="225">
        <v>0</v>
      </c>
      <c r="K71" s="226">
        <v>0</v>
      </c>
      <c r="L71" s="226"/>
      <c r="M71" s="227">
        <v>0</v>
      </c>
      <c r="N71" s="224">
        <v>440248</v>
      </c>
      <c r="O71" s="225">
        <v>249473</v>
      </c>
      <c r="P71" s="226">
        <v>440248</v>
      </c>
      <c r="Q71" s="226">
        <v>498927</v>
      </c>
      <c r="R71" s="227">
        <f t="shared" si="138"/>
        <v>468449.10743631306</v>
      </c>
      <c r="S71" s="224">
        <v>0</v>
      </c>
      <c r="T71" s="226">
        <v>0</v>
      </c>
      <c r="U71" s="226">
        <v>0</v>
      </c>
      <c r="V71" s="226"/>
      <c r="W71" s="227">
        <v>0</v>
      </c>
      <c r="X71" s="224">
        <f t="shared" si="133"/>
        <v>440248</v>
      </c>
      <c r="Y71" s="226">
        <f t="shared" si="133"/>
        <v>249473</v>
      </c>
      <c r="Z71" s="226">
        <f t="shared" si="133"/>
        <v>440248</v>
      </c>
      <c r="AA71" s="226">
        <f t="shared" si="133"/>
        <v>498927</v>
      </c>
      <c r="AB71" s="227">
        <f t="shared" si="134"/>
        <v>468449.10743631306</v>
      </c>
      <c r="AC71" s="224">
        <f t="shared" si="35"/>
        <v>543514</v>
      </c>
      <c r="AD71" s="226">
        <v>543514</v>
      </c>
      <c r="AE71" s="226">
        <f t="shared" si="135"/>
        <v>315247</v>
      </c>
      <c r="AF71" s="226">
        <f t="shared" si="135"/>
        <v>543514</v>
      </c>
      <c r="AG71" s="226">
        <f t="shared" si="135"/>
        <v>541308</v>
      </c>
      <c r="AH71" s="227">
        <f t="shared" si="136"/>
        <v>514736.36133930995</v>
      </c>
      <c r="AI71" s="228" t="s">
        <v>283</v>
      </c>
      <c r="AJ71" s="229" t="s">
        <v>331</v>
      </c>
      <c r="AK71" s="229" t="s">
        <v>232</v>
      </c>
      <c r="AL71" s="229" t="s">
        <v>277</v>
      </c>
      <c r="AM71" s="230" t="s">
        <v>69</v>
      </c>
    </row>
    <row r="72" spans="2:39" ht="13.5" customHeight="1" x14ac:dyDescent="0.15">
      <c r="B72" s="427" t="s">
        <v>355</v>
      </c>
      <c r="C72" s="223" t="s">
        <v>356</v>
      </c>
      <c r="D72" s="224">
        <v>216858</v>
      </c>
      <c r="E72" s="540">
        <v>111497</v>
      </c>
      <c r="F72" s="226">
        <v>216858</v>
      </c>
      <c r="G72" s="554">
        <v>89472</v>
      </c>
      <c r="H72" s="227">
        <f t="shared" si="137"/>
        <v>97202.964256348583</v>
      </c>
      <c r="I72" s="224">
        <v>0</v>
      </c>
      <c r="J72" s="225">
        <v>0</v>
      </c>
      <c r="K72" s="226">
        <v>0</v>
      </c>
      <c r="L72" s="226"/>
      <c r="M72" s="227">
        <v>0</v>
      </c>
      <c r="N72" s="224">
        <v>923721</v>
      </c>
      <c r="O72" s="225">
        <v>428883</v>
      </c>
      <c r="P72" s="226">
        <v>923721</v>
      </c>
      <c r="Q72" s="226">
        <v>1044861</v>
      </c>
      <c r="R72" s="227">
        <f t="shared" si="138"/>
        <v>982892.0925709568</v>
      </c>
      <c r="S72" s="224">
        <v>0</v>
      </c>
      <c r="T72" s="226">
        <v>0</v>
      </c>
      <c r="U72" s="226">
        <v>0</v>
      </c>
      <c r="V72" s="226"/>
      <c r="W72" s="227">
        <v>0</v>
      </c>
      <c r="X72" s="224">
        <f t="shared" si="133"/>
        <v>923721</v>
      </c>
      <c r="Y72" s="226">
        <f t="shared" si="133"/>
        <v>428883</v>
      </c>
      <c r="Z72" s="226">
        <f t="shared" si="133"/>
        <v>923721</v>
      </c>
      <c r="AA72" s="226">
        <f t="shared" si="133"/>
        <v>1044861</v>
      </c>
      <c r="AB72" s="227">
        <f t="shared" si="134"/>
        <v>982892.0925709568</v>
      </c>
      <c r="AC72" s="224">
        <f t="shared" si="35"/>
        <v>1140579</v>
      </c>
      <c r="AD72" s="226">
        <v>1140579</v>
      </c>
      <c r="AE72" s="226">
        <f t="shared" si="135"/>
        <v>540380</v>
      </c>
      <c r="AF72" s="226">
        <f t="shared" si="135"/>
        <v>1140579</v>
      </c>
      <c r="AG72" s="226">
        <f t="shared" si="135"/>
        <v>1134333</v>
      </c>
      <c r="AH72" s="227">
        <f t="shared" si="136"/>
        <v>1080095.0568273054</v>
      </c>
      <c r="AI72" s="228" t="s">
        <v>283</v>
      </c>
      <c r="AJ72" s="229" t="s">
        <v>331</v>
      </c>
      <c r="AK72" s="229" t="s">
        <v>232</v>
      </c>
      <c r="AL72" s="229" t="s">
        <v>277</v>
      </c>
      <c r="AM72" s="230" t="s">
        <v>69</v>
      </c>
    </row>
    <row r="73" spans="2:39" ht="13.5" customHeight="1" x14ac:dyDescent="0.15">
      <c r="B73" s="236" t="s">
        <v>357</v>
      </c>
      <c r="C73" s="237" t="s">
        <v>92</v>
      </c>
      <c r="D73" s="215">
        <f>SUM(D74:D76)</f>
        <v>2041021</v>
      </c>
      <c r="E73" s="539">
        <f t="shared" ref="E73:AH73" si="139">SUM(E74:E76)</f>
        <v>714581</v>
      </c>
      <c r="F73" s="215">
        <f t="shared" si="139"/>
        <v>2041021</v>
      </c>
      <c r="G73" s="539">
        <f t="shared" ref="G73" si="140">SUM(G74:G76)</f>
        <v>529553</v>
      </c>
      <c r="H73" s="215">
        <f t="shared" si="139"/>
        <v>487569</v>
      </c>
      <c r="I73" s="215">
        <f t="shared" si="139"/>
        <v>102071</v>
      </c>
      <c r="J73" s="215">
        <f t="shared" si="139"/>
        <v>8319</v>
      </c>
      <c r="K73" s="215">
        <f t="shared" si="139"/>
        <v>102071</v>
      </c>
      <c r="L73" s="215">
        <f t="shared" ref="L73" si="141">SUM(L74:L76)</f>
        <v>100000</v>
      </c>
      <c r="M73" s="215">
        <f t="shared" si="139"/>
        <v>103009</v>
      </c>
      <c r="N73" s="215">
        <f t="shared" si="139"/>
        <v>8178838</v>
      </c>
      <c r="O73" s="215">
        <f t="shared" si="139"/>
        <v>7341958</v>
      </c>
      <c r="P73" s="215">
        <f t="shared" si="139"/>
        <v>8178838</v>
      </c>
      <c r="Q73" s="215">
        <f t="shared" ref="Q73" si="142">SUM(Q74:Q76)</f>
        <v>6401983</v>
      </c>
      <c r="R73" s="215">
        <f t="shared" si="139"/>
        <v>6885909</v>
      </c>
      <c r="S73" s="215">
        <f t="shared" si="139"/>
        <v>446250</v>
      </c>
      <c r="T73" s="215">
        <f t="shared" si="139"/>
        <v>39794.5</v>
      </c>
      <c r="U73" s="215">
        <f t="shared" si="139"/>
        <v>446250</v>
      </c>
      <c r="V73" s="215">
        <f t="shared" ref="V73" si="143">SUM(V74:V76)</f>
        <v>446250</v>
      </c>
      <c r="W73" s="215">
        <f t="shared" si="139"/>
        <v>0</v>
      </c>
      <c r="X73" s="215">
        <f t="shared" si="139"/>
        <v>8625088</v>
      </c>
      <c r="Y73" s="215">
        <f t="shared" si="139"/>
        <v>7381752.5</v>
      </c>
      <c r="Z73" s="215">
        <f t="shared" si="139"/>
        <v>8625088</v>
      </c>
      <c r="AA73" s="215">
        <f t="shared" ref="AA73" si="144">SUM(AA74:AA76)</f>
        <v>6848233</v>
      </c>
      <c r="AB73" s="215">
        <f t="shared" si="139"/>
        <v>6885909</v>
      </c>
      <c r="AC73" s="215">
        <f t="shared" si="139"/>
        <v>10768180</v>
      </c>
      <c r="AD73" s="215">
        <f t="shared" si="139"/>
        <v>10768180</v>
      </c>
      <c r="AE73" s="215">
        <f t="shared" si="139"/>
        <v>8104652.5</v>
      </c>
      <c r="AF73" s="215">
        <f t="shared" si="139"/>
        <v>10768180</v>
      </c>
      <c r="AG73" s="215">
        <f t="shared" ref="AG73" si="145">SUM(AG74:AG76)</f>
        <v>7477786</v>
      </c>
      <c r="AH73" s="215">
        <f t="shared" si="139"/>
        <v>7476487</v>
      </c>
      <c r="AI73" s="238" t="s">
        <v>273</v>
      </c>
      <c r="AJ73" s="239" t="s">
        <v>331</v>
      </c>
      <c r="AK73" s="244"/>
      <c r="AL73" s="244"/>
      <c r="AM73" s="240" t="s">
        <v>358</v>
      </c>
    </row>
    <row r="74" spans="2:39" ht="13.5" customHeight="1" x14ac:dyDescent="0.15">
      <c r="B74" s="427" t="s">
        <v>359</v>
      </c>
      <c r="C74" s="245" t="s">
        <v>360</v>
      </c>
      <c r="D74" s="224">
        <v>360583</v>
      </c>
      <c r="E74" s="540">
        <v>106934</v>
      </c>
      <c r="F74" s="226">
        <v>360583</v>
      </c>
      <c r="G74" s="554">
        <v>90024</v>
      </c>
      <c r="H74" s="227">
        <f>487569*F74/$F$73</f>
        <v>86137.816674595699</v>
      </c>
      <c r="I74" s="235">
        <v>25518</v>
      </c>
      <c r="J74" s="225">
        <v>0</v>
      </c>
      <c r="K74" s="226">
        <v>25518</v>
      </c>
      <c r="L74" s="226">
        <v>17000</v>
      </c>
      <c r="M74" s="227">
        <f>103009*K74/$K$73</f>
        <v>25752.502297420422</v>
      </c>
      <c r="N74" s="235">
        <v>1487158</v>
      </c>
      <c r="O74" s="225">
        <v>1857662</v>
      </c>
      <c r="P74" s="226">
        <v>1487158</v>
      </c>
      <c r="Q74" s="226">
        <v>1258202</v>
      </c>
      <c r="R74" s="227">
        <f>6885909*P74/$P$73</f>
        <v>1252064.7378786572</v>
      </c>
      <c r="S74" s="224">
        <v>0</v>
      </c>
      <c r="T74" s="225">
        <v>40337</v>
      </c>
      <c r="U74" s="226">
        <v>0</v>
      </c>
      <c r="V74" s="226"/>
      <c r="W74" s="227">
        <v>0</v>
      </c>
      <c r="X74" s="224">
        <f t="shared" ref="X74:AA76" si="146">+N74+S74</f>
        <v>1487158</v>
      </c>
      <c r="Y74" s="226">
        <f t="shared" si="146"/>
        <v>1897999</v>
      </c>
      <c r="Z74" s="226">
        <f t="shared" si="146"/>
        <v>1487158</v>
      </c>
      <c r="AA74" s="226">
        <f t="shared" si="146"/>
        <v>1258202</v>
      </c>
      <c r="AB74" s="227">
        <f t="shared" ref="AB74:AB76" si="147">+R74+W74</f>
        <v>1252064.7378786572</v>
      </c>
      <c r="AC74" s="224">
        <f t="shared" si="35"/>
        <v>1873259</v>
      </c>
      <c r="AD74" s="226">
        <v>1873259</v>
      </c>
      <c r="AE74" s="226">
        <f t="shared" ref="AE74:AG76" si="148">+E74+J74+Y74</f>
        <v>2004933</v>
      </c>
      <c r="AF74" s="226">
        <f t="shared" si="148"/>
        <v>1873259</v>
      </c>
      <c r="AG74" s="226">
        <f t="shared" si="148"/>
        <v>1365226</v>
      </c>
      <c r="AH74" s="227">
        <f t="shared" ref="AH74:AH76" si="149">+H74+M74+AB74</f>
        <v>1363955.0568506734</v>
      </c>
      <c r="AI74" s="228" t="s">
        <v>283</v>
      </c>
      <c r="AJ74" s="229" t="s">
        <v>331</v>
      </c>
      <c r="AK74" s="229" t="s">
        <v>291</v>
      </c>
      <c r="AL74" s="229" t="s">
        <v>277</v>
      </c>
      <c r="AM74" s="230" t="s">
        <v>358</v>
      </c>
    </row>
    <row r="75" spans="2:39" ht="13.5" customHeight="1" x14ac:dyDescent="0.15">
      <c r="B75" s="427" t="s">
        <v>361</v>
      </c>
      <c r="C75" s="245" t="s">
        <v>362</v>
      </c>
      <c r="D75" s="224">
        <v>790076</v>
      </c>
      <c r="E75" s="540">
        <v>232428</v>
      </c>
      <c r="F75" s="226">
        <v>790076</v>
      </c>
      <c r="G75" s="554">
        <v>211820</v>
      </c>
      <c r="H75" s="227">
        <f t="shared" ref="H75:H76" si="150">487569*F75/$F$73</f>
        <v>188737.18851692363</v>
      </c>
      <c r="I75" s="235">
        <v>0</v>
      </c>
      <c r="J75" s="225">
        <v>0</v>
      </c>
      <c r="K75" s="226">
        <v>0</v>
      </c>
      <c r="L75" s="226">
        <v>40000</v>
      </c>
      <c r="M75" s="227">
        <f t="shared" ref="M75:M76" si="151">103009*K75/$K$73</f>
        <v>0</v>
      </c>
      <c r="N75" s="235">
        <v>3420082</v>
      </c>
      <c r="O75" s="225">
        <v>3167259</v>
      </c>
      <c r="P75" s="226">
        <v>3420082</v>
      </c>
      <c r="Q75" s="226">
        <v>2492243</v>
      </c>
      <c r="R75" s="227">
        <f t="shared" ref="R75:R76" si="152">6885909*P75/$P$73</f>
        <v>2879427.7896857718</v>
      </c>
      <c r="S75" s="224">
        <v>0</v>
      </c>
      <c r="T75" s="225">
        <v>0</v>
      </c>
      <c r="U75" s="226">
        <v>0</v>
      </c>
      <c r="V75" s="226">
        <v>446250</v>
      </c>
      <c r="W75" s="227">
        <v>0</v>
      </c>
      <c r="X75" s="224">
        <f t="shared" si="146"/>
        <v>3420082</v>
      </c>
      <c r="Y75" s="226">
        <f t="shared" si="146"/>
        <v>3167259</v>
      </c>
      <c r="Z75" s="226">
        <f t="shared" si="146"/>
        <v>3420082</v>
      </c>
      <c r="AA75" s="226">
        <f t="shared" si="146"/>
        <v>2938493</v>
      </c>
      <c r="AB75" s="227">
        <f t="shared" si="147"/>
        <v>2879427.7896857718</v>
      </c>
      <c r="AC75" s="224">
        <f t="shared" si="35"/>
        <v>4210158</v>
      </c>
      <c r="AD75" s="226">
        <v>4210158</v>
      </c>
      <c r="AE75" s="226">
        <f t="shared" si="148"/>
        <v>3399687</v>
      </c>
      <c r="AF75" s="226">
        <f t="shared" si="148"/>
        <v>4210158</v>
      </c>
      <c r="AG75" s="226">
        <f t="shared" si="148"/>
        <v>3190313</v>
      </c>
      <c r="AH75" s="227">
        <f t="shared" si="149"/>
        <v>3068164.9782026955</v>
      </c>
      <c r="AI75" s="228" t="s">
        <v>283</v>
      </c>
      <c r="AJ75" s="229" t="s">
        <v>331</v>
      </c>
      <c r="AK75" s="229" t="s">
        <v>291</v>
      </c>
      <c r="AL75" s="229" t="s">
        <v>277</v>
      </c>
      <c r="AM75" s="230" t="s">
        <v>358</v>
      </c>
    </row>
    <row r="76" spans="2:39" ht="13.5" customHeight="1" x14ac:dyDescent="0.15">
      <c r="B76" s="427" t="s">
        <v>363</v>
      </c>
      <c r="C76" s="245" t="s">
        <v>364</v>
      </c>
      <c r="D76" s="224">
        <v>890362</v>
      </c>
      <c r="E76" s="540">
        <v>375219</v>
      </c>
      <c r="F76" s="226">
        <v>890362</v>
      </c>
      <c r="G76" s="554">
        <v>227709</v>
      </c>
      <c r="H76" s="227">
        <f t="shared" si="150"/>
        <v>212693.99480848067</v>
      </c>
      <c r="I76" s="235">
        <v>76553</v>
      </c>
      <c r="J76" s="225">
        <v>8319</v>
      </c>
      <c r="K76" s="226">
        <v>76553</v>
      </c>
      <c r="L76" s="226">
        <v>43000</v>
      </c>
      <c r="M76" s="227">
        <f t="shared" si="151"/>
        <v>77256.497702579582</v>
      </c>
      <c r="N76" s="235">
        <v>3271598</v>
      </c>
      <c r="O76" s="225">
        <v>2317037</v>
      </c>
      <c r="P76" s="226">
        <v>3271598</v>
      </c>
      <c r="Q76" s="226">
        <v>2651538</v>
      </c>
      <c r="R76" s="227">
        <f t="shared" si="152"/>
        <v>2754416.4724355708</v>
      </c>
      <c r="S76" s="224">
        <v>446250</v>
      </c>
      <c r="T76" s="225">
        <v>-542.5</v>
      </c>
      <c r="U76" s="226">
        <v>446250</v>
      </c>
      <c r="V76" s="226"/>
      <c r="W76" s="227">
        <v>0</v>
      </c>
      <c r="X76" s="224">
        <f t="shared" si="146"/>
        <v>3717848</v>
      </c>
      <c r="Y76" s="226">
        <f t="shared" si="146"/>
        <v>2316494.5</v>
      </c>
      <c r="Z76" s="226">
        <f t="shared" si="146"/>
        <v>3717848</v>
      </c>
      <c r="AA76" s="226">
        <f t="shared" si="146"/>
        <v>2651538</v>
      </c>
      <c r="AB76" s="227">
        <f t="shared" si="147"/>
        <v>2754416.4724355708</v>
      </c>
      <c r="AC76" s="224">
        <f t="shared" si="35"/>
        <v>4684763</v>
      </c>
      <c r="AD76" s="226">
        <v>4684763</v>
      </c>
      <c r="AE76" s="226">
        <f t="shared" si="148"/>
        <v>2700032.5</v>
      </c>
      <c r="AF76" s="226">
        <f t="shared" si="148"/>
        <v>4684763</v>
      </c>
      <c r="AG76" s="226">
        <f t="shared" si="148"/>
        <v>2922247</v>
      </c>
      <c r="AH76" s="227">
        <f t="shared" si="149"/>
        <v>3044366.9649466309</v>
      </c>
      <c r="AI76" s="228" t="s">
        <v>273</v>
      </c>
      <c r="AJ76" s="229" t="s">
        <v>331</v>
      </c>
      <c r="AK76" s="229" t="s">
        <v>291</v>
      </c>
      <c r="AL76" s="229" t="s">
        <v>277</v>
      </c>
      <c r="AM76" s="230" t="s">
        <v>358</v>
      </c>
    </row>
    <row r="77" spans="2:39" ht="13.5" customHeight="1" x14ac:dyDescent="0.15">
      <c r="B77" s="236" t="s">
        <v>365</v>
      </c>
      <c r="C77" s="237" t="s">
        <v>366</v>
      </c>
      <c r="D77" s="215">
        <f>SUM(D78:D80)</f>
        <v>1516167</v>
      </c>
      <c r="E77" s="539">
        <f t="shared" ref="E77:AH77" si="153">SUM(E78:E80)</f>
        <v>1173147</v>
      </c>
      <c r="F77" s="215">
        <f t="shared" si="153"/>
        <v>1516167</v>
      </c>
      <c r="G77" s="539">
        <f t="shared" ref="G77" si="154">SUM(G78:G80)</f>
        <v>398625</v>
      </c>
      <c r="H77" s="215">
        <f t="shared" si="153"/>
        <v>291187</v>
      </c>
      <c r="I77" s="215">
        <f t="shared" si="153"/>
        <v>303808</v>
      </c>
      <c r="J77" s="215">
        <f t="shared" si="153"/>
        <v>344777</v>
      </c>
      <c r="K77" s="215">
        <f t="shared" si="153"/>
        <v>303808</v>
      </c>
      <c r="L77" s="215">
        <f t="shared" ref="L77" si="155">SUM(L78:L80)</f>
        <v>282710</v>
      </c>
      <c r="M77" s="215">
        <f t="shared" si="153"/>
        <v>0</v>
      </c>
      <c r="N77" s="215">
        <f t="shared" si="153"/>
        <v>7255450</v>
      </c>
      <c r="O77" s="215">
        <f t="shared" si="153"/>
        <v>8516772</v>
      </c>
      <c r="P77" s="215">
        <f t="shared" si="153"/>
        <v>7255450</v>
      </c>
      <c r="Q77" s="215">
        <f t="shared" ref="Q77" si="156">SUM(Q78:Q80)</f>
        <v>5890949</v>
      </c>
      <c r="R77" s="215">
        <f t="shared" si="153"/>
        <v>4553918</v>
      </c>
      <c r="S77" s="215">
        <f t="shared" si="153"/>
        <v>89231</v>
      </c>
      <c r="T77" s="215">
        <f t="shared" si="153"/>
        <v>0</v>
      </c>
      <c r="U77" s="215">
        <f t="shared" si="153"/>
        <v>89231</v>
      </c>
      <c r="V77" s="215">
        <f t="shared" ref="V77" si="157">SUM(V78:V80)</f>
        <v>97497</v>
      </c>
      <c r="W77" s="215">
        <f t="shared" si="153"/>
        <v>0</v>
      </c>
      <c r="X77" s="215">
        <f t="shared" si="153"/>
        <v>7344681</v>
      </c>
      <c r="Y77" s="215">
        <f t="shared" si="153"/>
        <v>8516772</v>
      </c>
      <c r="Z77" s="215">
        <f t="shared" si="153"/>
        <v>7344681</v>
      </c>
      <c r="AA77" s="215">
        <f t="shared" ref="AA77" si="158">SUM(AA78:AA80)</f>
        <v>5988446</v>
      </c>
      <c r="AB77" s="215">
        <f t="shared" si="153"/>
        <v>4553918</v>
      </c>
      <c r="AC77" s="215">
        <f t="shared" si="153"/>
        <v>9164656</v>
      </c>
      <c r="AD77" s="215">
        <f t="shared" si="153"/>
        <v>9164656</v>
      </c>
      <c r="AE77" s="215">
        <f t="shared" si="153"/>
        <v>10034696</v>
      </c>
      <c r="AF77" s="215">
        <f t="shared" si="153"/>
        <v>9164656</v>
      </c>
      <c r="AG77" s="215">
        <f t="shared" ref="AG77" si="159">SUM(AG78:AG80)</f>
        <v>6669781</v>
      </c>
      <c r="AH77" s="215">
        <f t="shared" si="153"/>
        <v>4845105</v>
      </c>
      <c r="AI77" s="238" t="s">
        <v>273</v>
      </c>
      <c r="AJ77" s="239" t="s">
        <v>331</v>
      </c>
      <c r="AK77" s="244"/>
      <c r="AL77" s="244"/>
      <c r="AM77" s="240" t="s">
        <v>367</v>
      </c>
    </row>
    <row r="78" spans="2:39" ht="13.5" customHeight="1" x14ac:dyDescent="0.15">
      <c r="B78" s="427" t="s">
        <v>368</v>
      </c>
      <c r="C78" s="245" t="s">
        <v>72</v>
      </c>
      <c r="D78" s="224">
        <v>181671</v>
      </c>
      <c r="E78" s="540">
        <v>400542</v>
      </c>
      <c r="F78" s="226">
        <v>181671</v>
      </c>
      <c r="G78" s="554">
        <v>203038</v>
      </c>
      <c r="H78" s="227">
        <v>189807</v>
      </c>
      <c r="I78" s="235">
        <v>15311</v>
      </c>
      <c r="J78" s="225">
        <v>3903</v>
      </c>
      <c r="K78" s="226">
        <v>15311</v>
      </c>
      <c r="L78" s="226"/>
      <c r="M78" s="227">
        <v>0</v>
      </c>
      <c r="N78" s="235">
        <v>5417146</v>
      </c>
      <c r="O78" s="225">
        <v>5947580</v>
      </c>
      <c r="P78" s="226">
        <v>5417146</v>
      </c>
      <c r="Q78" s="226">
        <v>4284437</v>
      </c>
      <c r="R78" s="227">
        <v>4159762</v>
      </c>
      <c r="S78" s="224">
        <v>0</v>
      </c>
      <c r="T78" s="226">
        <v>0</v>
      </c>
      <c r="U78" s="226">
        <v>0</v>
      </c>
      <c r="V78" s="226"/>
      <c r="W78" s="227">
        <v>0</v>
      </c>
      <c r="X78" s="224">
        <f t="shared" ref="X78:AA80" si="160">+N78+S78</f>
        <v>5417146</v>
      </c>
      <c r="Y78" s="226">
        <f t="shared" si="160"/>
        <v>5947580</v>
      </c>
      <c r="Z78" s="226">
        <f t="shared" si="160"/>
        <v>5417146</v>
      </c>
      <c r="AA78" s="226">
        <f t="shared" si="160"/>
        <v>4284437</v>
      </c>
      <c r="AB78" s="227">
        <f t="shared" ref="AB78:AB80" si="161">+R78+W78</f>
        <v>4159762</v>
      </c>
      <c r="AC78" s="224">
        <f t="shared" si="35"/>
        <v>5614128</v>
      </c>
      <c r="AD78" s="226">
        <v>5614128</v>
      </c>
      <c r="AE78" s="226">
        <f t="shared" ref="AE78:AG80" si="162">+E78+J78+Y78</f>
        <v>6352025</v>
      </c>
      <c r="AF78" s="226">
        <f t="shared" si="162"/>
        <v>5614128</v>
      </c>
      <c r="AG78" s="226">
        <f t="shared" si="162"/>
        <v>4487475</v>
      </c>
      <c r="AH78" s="227">
        <f t="shared" ref="AH78:AH80" si="163">+H78+M78+AB78</f>
        <v>4349569</v>
      </c>
      <c r="AI78" s="228" t="s">
        <v>283</v>
      </c>
      <c r="AJ78" s="229" t="s">
        <v>331</v>
      </c>
      <c r="AK78" s="229" t="s">
        <v>291</v>
      </c>
      <c r="AL78" s="229" t="s">
        <v>280</v>
      </c>
      <c r="AM78" s="230" t="s">
        <v>367</v>
      </c>
    </row>
    <row r="79" spans="2:39" ht="13.5" customHeight="1" x14ac:dyDescent="0.15">
      <c r="B79" s="427" t="s">
        <v>369</v>
      </c>
      <c r="C79" s="245" t="s">
        <v>6</v>
      </c>
      <c r="D79" s="224">
        <v>1326783</v>
      </c>
      <c r="E79" s="540">
        <v>767074</v>
      </c>
      <c r="F79" s="226">
        <v>1326783</v>
      </c>
      <c r="G79" s="554">
        <v>190660</v>
      </c>
      <c r="H79" s="227">
        <v>101380</v>
      </c>
      <c r="I79" s="235">
        <v>288497</v>
      </c>
      <c r="J79" s="225">
        <v>340874</v>
      </c>
      <c r="K79" s="226">
        <v>288497</v>
      </c>
      <c r="L79" s="226">
        <v>282710</v>
      </c>
      <c r="M79" s="227">
        <v>0</v>
      </c>
      <c r="N79" s="235">
        <v>1721656</v>
      </c>
      <c r="O79" s="225">
        <v>2540046</v>
      </c>
      <c r="P79" s="226">
        <v>1721656</v>
      </c>
      <c r="Q79" s="226">
        <v>1509756</v>
      </c>
      <c r="R79" s="227">
        <v>394156</v>
      </c>
      <c r="S79" s="224">
        <v>89231</v>
      </c>
      <c r="T79" s="226">
        <v>0</v>
      </c>
      <c r="U79" s="226">
        <v>89231</v>
      </c>
      <c r="V79" s="226">
        <v>97497</v>
      </c>
      <c r="W79" s="227">
        <v>0</v>
      </c>
      <c r="X79" s="224">
        <f t="shared" si="160"/>
        <v>1810887</v>
      </c>
      <c r="Y79" s="226">
        <f t="shared" si="160"/>
        <v>2540046</v>
      </c>
      <c r="Z79" s="226">
        <f t="shared" si="160"/>
        <v>1810887</v>
      </c>
      <c r="AA79" s="226">
        <f t="shared" si="160"/>
        <v>1607253</v>
      </c>
      <c r="AB79" s="227">
        <f t="shared" si="161"/>
        <v>394156</v>
      </c>
      <c r="AC79" s="224">
        <f t="shared" si="35"/>
        <v>3426167</v>
      </c>
      <c r="AD79" s="226">
        <v>3426167</v>
      </c>
      <c r="AE79" s="226">
        <f t="shared" si="162"/>
        <v>3647994</v>
      </c>
      <c r="AF79" s="226">
        <f t="shared" si="162"/>
        <v>3426167</v>
      </c>
      <c r="AG79" s="226">
        <f t="shared" si="162"/>
        <v>2080623</v>
      </c>
      <c r="AH79" s="227">
        <f t="shared" si="163"/>
        <v>495536</v>
      </c>
      <c r="AI79" s="228" t="s">
        <v>370</v>
      </c>
      <c r="AJ79" s="229" t="s">
        <v>331</v>
      </c>
      <c r="AK79" s="229" t="s">
        <v>291</v>
      </c>
      <c r="AL79" s="229" t="s">
        <v>280</v>
      </c>
      <c r="AM79" s="230" t="s">
        <v>367</v>
      </c>
    </row>
    <row r="80" spans="2:39" ht="13.5" customHeight="1" x14ac:dyDescent="0.15">
      <c r="B80" s="427" t="s">
        <v>371</v>
      </c>
      <c r="C80" s="245" t="s">
        <v>73</v>
      </c>
      <c r="D80" s="224">
        <v>7713</v>
      </c>
      <c r="E80" s="540">
        <v>5531</v>
      </c>
      <c r="F80" s="226">
        <v>7713</v>
      </c>
      <c r="G80" s="554">
        <v>4927</v>
      </c>
      <c r="H80" s="227">
        <v>0</v>
      </c>
      <c r="I80" s="235">
        <v>0</v>
      </c>
      <c r="J80" s="225">
        <v>0</v>
      </c>
      <c r="K80" s="226">
        <v>0</v>
      </c>
      <c r="L80" s="226"/>
      <c r="M80" s="227">
        <v>0</v>
      </c>
      <c r="N80" s="235">
        <v>116648</v>
      </c>
      <c r="O80" s="225">
        <v>29146</v>
      </c>
      <c r="P80" s="226">
        <v>116648</v>
      </c>
      <c r="Q80" s="226">
        <v>96756</v>
      </c>
      <c r="R80" s="227">
        <v>0</v>
      </c>
      <c r="S80" s="224">
        <v>0</v>
      </c>
      <c r="T80" s="226">
        <v>0</v>
      </c>
      <c r="U80" s="226">
        <v>0</v>
      </c>
      <c r="V80" s="226"/>
      <c r="W80" s="227">
        <v>0</v>
      </c>
      <c r="X80" s="224">
        <f t="shared" si="160"/>
        <v>116648</v>
      </c>
      <c r="Y80" s="226">
        <f t="shared" si="160"/>
        <v>29146</v>
      </c>
      <c r="Z80" s="226">
        <f t="shared" si="160"/>
        <v>116648</v>
      </c>
      <c r="AA80" s="226">
        <f t="shared" si="160"/>
        <v>96756</v>
      </c>
      <c r="AB80" s="227">
        <f t="shared" si="161"/>
        <v>0</v>
      </c>
      <c r="AC80" s="224">
        <f t="shared" si="35"/>
        <v>124361</v>
      </c>
      <c r="AD80" s="226">
        <v>124361</v>
      </c>
      <c r="AE80" s="226">
        <f t="shared" si="162"/>
        <v>34677</v>
      </c>
      <c r="AF80" s="226">
        <f t="shared" si="162"/>
        <v>124361</v>
      </c>
      <c r="AG80" s="226">
        <f t="shared" si="162"/>
        <v>101683</v>
      </c>
      <c r="AH80" s="227">
        <f t="shared" si="163"/>
        <v>0</v>
      </c>
      <c r="AI80" s="228" t="s">
        <v>283</v>
      </c>
      <c r="AJ80" s="229" t="s">
        <v>331</v>
      </c>
      <c r="AK80" s="229" t="s">
        <v>291</v>
      </c>
      <c r="AL80" s="229" t="s">
        <v>288</v>
      </c>
      <c r="AM80" s="230" t="s">
        <v>367</v>
      </c>
    </row>
    <row r="81" spans="2:39" ht="13.5" customHeight="1" x14ac:dyDescent="0.15">
      <c r="B81" s="236" t="s">
        <v>375</v>
      </c>
      <c r="C81" s="237" t="s">
        <v>376</v>
      </c>
      <c r="D81" s="215">
        <f t="shared" ref="D81:AH81" si="164">SUM(D82:D108)</f>
        <v>1627964.99</v>
      </c>
      <c r="E81" s="539">
        <f t="shared" si="164"/>
        <v>2504832</v>
      </c>
      <c r="F81" s="215">
        <f t="shared" si="164"/>
        <v>1627964.99</v>
      </c>
      <c r="G81" s="539">
        <f t="shared" ref="G81" si="165">SUM(G82:G108)</f>
        <v>1170900</v>
      </c>
      <c r="H81" s="215">
        <f t="shared" si="164"/>
        <v>1355575</v>
      </c>
      <c r="I81" s="215">
        <f t="shared" si="164"/>
        <v>667831</v>
      </c>
      <c r="J81" s="215">
        <f t="shared" si="164"/>
        <v>422670</v>
      </c>
      <c r="K81" s="215">
        <f t="shared" si="164"/>
        <v>667831</v>
      </c>
      <c r="L81" s="215">
        <f t="shared" ref="L81" si="166">SUM(L82:L108)</f>
        <v>289814</v>
      </c>
      <c r="M81" s="215">
        <f t="shared" si="164"/>
        <v>225517</v>
      </c>
      <c r="N81" s="215">
        <f t="shared" si="164"/>
        <v>5268882.0999999996</v>
      </c>
      <c r="O81" s="215">
        <f t="shared" si="164"/>
        <v>6639659</v>
      </c>
      <c r="P81" s="215">
        <f t="shared" si="164"/>
        <v>5268882.0999999996</v>
      </c>
      <c r="Q81" s="215">
        <f t="shared" ref="Q81" si="167">SUM(Q82:Q108)</f>
        <v>5871264</v>
      </c>
      <c r="R81" s="215">
        <f t="shared" si="164"/>
        <v>6053396</v>
      </c>
      <c r="S81" s="215">
        <f t="shared" si="164"/>
        <v>5194182</v>
      </c>
      <c r="T81" s="215">
        <f t="shared" si="164"/>
        <v>2371271</v>
      </c>
      <c r="U81" s="215">
        <f t="shared" si="164"/>
        <v>5194182</v>
      </c>
      <c r="V81" s="215">
        <f t="shared" ref="V81" si="168">SUM(V82:V108)</f>
        <v>5301712</v>
      </c>
      <c r="W81" s="215">
        <f t="shared" si="164"/>
        <v>6063351</v>
      </c>
      <c r="X81" s="215">
        <f t="shared" si="164"/>
        <v>10463064.100000001</v>
      </c>
      <c r="Y81" s="215">
        <f t="shared" si="164"/>
        <v>9010930</v>
      </c>
      <c r="Z81" s="215">
        <f t="shared" si="164"/>
        <v>10463064.100000001</v>
      </c>
      <c r="AA81" s="215">
        <f t="shared" ref="AA81" si="169">SUM(AA82:AA108)</f>
        <v>11172976</v>
      </c>
      <c r="AB81" s="215">
        <f t="shared" si="164"/>
        <v>12116747</v>
      </c>
      <c r="AC81" s="215">
        <f t="shared" si="164"/>
        <v>12758860.089999998</v>
      </c>
      <c r="AD81" s="215">
        <f t="shared" si="164"/>
        <v>10510110.089999998</v>
      </c>
      <c r="AE81" s="215">
        <f t="shared" si="164"/>
        <v>11938432</v>
      </c>
      <c r="AF81" s="215">
        <f t="shared" si="164"/>
        <v>12758860.089999998</v>
      </c>
      <c r="AG81" s="215">
        <f t="shared" ref="AG81" si="170">SUM(AG82:AG108)</f>
        <v>12633690</v>
      </c>
      <c r="AH81" s="215">
        <f t="shared" si="164"/>
        <v>13697839</v>
      </c>
      <c r="AI81" s="238" t="s">
        <v>377</v>
      </c>
      <c r="AJ81" s="239" t="s">
        <v>377</v>
      </c>
      <c r="AK81" s="244"/>
      <c r="AL81" s="244"/>
      <c r="AM81" s="240" t="s">
        <v>378</v>
      </c>
    </row>
    <row r="82" spans="2:39" ht="13.5" customHeight="1" x14ac:dyDescent="0.15">
      <c r="B82" s="425" t="s">
        <v>182</v>
      </c>
      <c r="C82" s="223" t="s">
        <v>376</v>
      </c>
      <c r="D82" s="224"/>
      <c r="E82" s="540">
        <v>-59859</v>
      </c>
      <c r="F82" s="226">
        <v>0</v>
      </c>
      <c r="G82" s="554">
        <v>4279</v>
      </c>
      <c r="H82" s="246">
        <v>80293</v>
      </c>
      <c r="I82" s="224"/>
      <c r="J82" s="225">
        <v>0</v>
      </c>
      <c r="K82" s="226">
        <v>0</v>
      </c>
      <c r="L82" s="226"/>
      <c r="M82" s="246">
        <v>7396</v>
      </c>
      <c r="N82" s="224"/>
      <c r="O82" s="225">
        <v>24457</v>
      </c>
      <c r="P82" s="226">
        <v>0</v>
      </c>
      <c r="Q82" s="226"/>
      <c r="R82" s="246">
        <v>714082</v>
      </c>
      <c r="S82" s="224"/>
      <c r="T82" s="225">
        <v>0</v>
      </c>
      <c r="U82" s="226">
        <v>0</v>
      </c>
      <c r="V82" s="226">
        <v>1530597</v>
      </c>
      <c r="W82" s="246">
        <v>264000</v>
      </c>
      <c r="X82" s="224">
        <f t="shared" ref="X82:X108" si="171">+N82+S82</f>
        <v>0</v>
      </c>
      <c r="Y82" s="226">
        <f t="shared" ref="Y82:Y108" si="172">+O82+T82</f>
        <v>24457</v>
      </c>
      <c r="Z82" s="226">
        <f t="shared" ref="Z82:AA108" si="173">+P82+U82</f>
        <v>0</v>
      </c>
      <c r="AA82" s="226">
        <f t="shared" si="173"/>
        <v>1530597</v>
      </c>
      <c r="AB82" s="227">
        <f t="shared" ref="AB82:AB108" si="174">+R82+W82</f>
        <v>978082</v>
      </c>
      <c r="AC82" s="224">
        <f t="shared" si="35"/>
        <v>0</v>
      </c>
      <c r="AD82" s="226">
        <v>0</v>
      </c>
      <c r="AE82" s="226">
        <f t="shared" ref="AE82:AE108" si="175">+E82+J82+Y82</f>
        <v>-35402</v>
      </c>
      <c r="AF82" s="226">
        <f t="shared" ref="AF82:AG108" si="176">+F82+K82+Z82</f>
        <v>0</v>
      </c>
      <c r="AG82" s="226">
        <f t="shared" si="176"/>
        <v>1534876</v>
      </c>
      <c r="AH82" s="227">
        <f t="shared" ref="AH82:AH108" si="177">+H82+M82+AB82</f>
        <v>1065771</v>
      </c>
      <c r="AI82" s="228" t="s">
        <v>377</v>
      </c>
      <c r="AJ82" s="229" t="s">
        <v>331</v>
      </c>
      <c r="AK82" s="229" t="s">
        <v>276</v>
      </c>
      <c r="AL82" s="229" t="s">
        <v>277</v>
      </c>
      <c r="AM82" s="230" t="s">
        <v>378</v>
      </c>
    </row>
    <row r="83" spans="2:39" ht="13.5" customHeight="1" x14ac:dyDescent="0.15">
      <c r="B83" s="424" t="s">
        <v>181</v>
      </c>
      <c r="C83" s="223" t="s">
        <v>42</v>
      </c>
      <c r="D83" s="224">
        <v>12031.61</v>
      </c>
      <c r="E83" s="540">
        <v>5943</v>
      </c>
      <c r="F83" s="226">
        <v>12031.61</v>
      </c>
      <c r="G83" s="554">
        <v>0</v>
      </c>
      <c r="H83" s="227">
        <v>0</v>
      </c>
      <c r="I83" s="224">
        <v>7635</v>
      </c>
      <c r="J83" s="225">
        <v>0</v>
      </c>
      <c r="K83" s="226">
        <v>7635</v>
      </c>
      <c r="L83" s="226">
        <v>0</v>
      </c>
      <c r="M83" s="227">
        <v>0</v>
      </c>
      <c r="N83" s="224">
        <v>58175.9</v>
      </c>
      <c r="O83" s="225">
        <v>41824</v>
      </c>
      <c r="P83" s="226">
        <v>58175.9</v>
      </c>
      <c r="Q83" s="226">
        <v>0</v>
      </c>
      <c r="R83" s="227">
        <v>0</v>
      </c>
      <c r="S83" s="224">
        <v>26350</v>
      </c>
      <c r="T83" s="225">
        <v>0</v>
      </c>
      <c r="U83" s="226">
        <v>26350</v>
      </c>
      <c r="V83" s="226">
        <v>0</v>
      </c>
      <c r="W83" s="227">
        <v>0</v>
      </c>
      <c r="X83" s="224">
        <f t="shared" si="171"/>
        <v>84525.9</v>
      </c>
      <c r="Y83" s="226">
        <f t="shared" si="172"/>
        <v>41824</v>
      </c>
      <c r="Z83" s="226">
        <f t="shared" si="173"/>
        <v>84525.9</v>
      </c>
      <c r="AA83" s="226">
        <f t="shared" si="173"/>
        <v>0</v>
      </c>
      <c r="AB83" s="227">
        <f t="shared" si="174"/>
        <v>0</v>
      </c>
      <c r="AC83" s="224">
        <f t="shared" si="35"/>
        <v>104192.51</v>
      </c>
      <c r="AD83" s="226">
        <v>104192.51</v>
      </c>
      <c r="AE83" s="226">
        <f t="shared" si="175"/>
        <v>47767</v>
      </c>
      <c r="AF83" s="226">
        <f t="shared" si="176"/>
        <v>104192.51</v>
      </c>
      <c r="AG83" s="226">
        <f t="shared" si="176"/>
        <v>0</v>
      </c>
      <c r="AH83" s="227">
        <f t="shared" si="177"/>
        <v>0</v>
      </c>
      <c r="AI83" s="228" t="s">
        <v>377</v>
      </c>
      <c r="AJ83" s="229" t="s">
        <v>331</v>
      </c>
      <c r="AK83" s="229" t="s">
        <v>276</v>
      </c>
      <c r="AL83" s="229" t="s">
        <v>288</v>
      </c>
      <c r="AM83" s="230" t="s">
        <v>378</v>
      </c>
    </row>
    <row r="84" spans="2:39" ht="13.5" customHeight="1" x14ac:dyDescent="0.15">
      <c r="B84" s="424" t="s">
        <v>379</v>
      </c>
      <c r="C84" s="223" t="s">
        <v>43</v>
      </c>
      <c r="D84" s="224">
        <v>31794.65</v>
      </c>
      <c r="E84" s="540">
        <v>29714</v>
      </c>
      <c r="F84" s="226">
        <v>31794.65</v>
      </c>
      <c r="G84" s="554">
        <v>31103</v>
      </c>
      <c r="H84" s="227">
        <v>103524</v>
      </c>
      <c r="I84" s="224">
        <v>21435</v>
      </c>
      <c r="J84" s="225">
        <v>5813</v>
      </c>
      <c r="K84" s="226">
        <v>21435</v>
      </c>
      <c r="L84" s="226">
        <v>5813</v>
      </c>
      <c r="M84" s="227">
        <v>5559</v>
      </c>
      <c r="N84" s="224">
        <v>94749</v>
      </c>
      <c r="O84" s="225">
        <v>94143</v>
      </c>
      <c r="P84" s="226">
        <v>94749</v>
      </c>
      <c r="Q84" s="226">
        <v>101652</v>
      </c>
      <c r="R84" s="227">
        <v>109279</v>
      </c>
      <c r="S84" s="224">
        <v>134400</v>
      </c>
      <c r="T84" s="225">
        <v>21640</v>
      </c>
      <c r="U84" s="226">
        <v>134400</v>
      </c>
      <c r="V84" s="226">
        <v>2026595</v>
      </c>
      <c r="W84" s="227">
        <v>1185395</v>
      </c>
      <c r="X84" s="224">
        <f t="shared" si="171"/>
        <v>229149</v>
      </c>
      <c r="Y84" s="226">
        <f t="shared" si="172"/>
        <v>115783</v>
      </c>
      <c r="Z84" s="226">
        <f t="shared" si="173"/>
        <v>229149</v>
      </c>
      <c r="AA84" s="226">
        <f t="shared" si="173"/>
        <v>2128247</v>
      </c>
      <c r="AB84" s="227">
        <f t="shared" si="174"/>
        <v>1294674</v>
      </c>
      <c r="AC84" s="224">
        <f t="shared" si="35"/>
        <v>282378.65000000002</v>
      </c>
      <c r="AD84" s="226">
        <v>282378.65000000002</v>
      </c>
      <c r="AE84" s="226">
        <f t="shared" si="175"/>
        <v>151310</v>
      </c>
      <c r="AF84" s="226">
        <f t="shared" si="176"/>
        <v>282378.65000000002</v>
      </c>
      <c r="AG84" s="226">
        <f t="shared" si="176"/>
        <v>2165163</v>
      </c>
      <c r="AH84" s="227">
        <f t="shared" si="177"/>
        <v>1403757</v>
      </c>
      <c r="AI84" s="228" t="s">
        <v>377</v>
      </c>
      <c r="AJ84" s="229" t="s">
        <v>331</v>
      </c>
      <c r="AK84" s="229" t="s">
        <v>276</v>
      </c>
      <c r="AL84" s="229" t="s">
        <v>277</v>
      </c>
      <c r="AM84" s="230" t="s">
        <v>378</v>
      </c>
    </row>
    <row r="85" spans="2:39" ht="13.5" customHeight="1" x14ac:dyDescent="0.15">
      <c r="B85" s="424" t="s">
        <v>380</v>
      </c>
      <c r="C85" s="223" t="s">
        <v>44</v>
      </c>
      <c r="D85" s="224">
        <v>31505.41</v>
      </c>
      <c r="E85" s="540">
        <v>23066</v>
      </c>
      <c r="F85" s="226">
        <v>31505.41</v>
      </c>
      <c r="G85" s="554">
        <v>18333</v>
      </c>
      <c r="H85" s="227">
        <v>22791</v>
      </c>
      <c r="I85" s="224">
        <v>7910</v>
      </c>
      <c r="J85" s="225">
        <v>1718</v>
      </c>
      <c r="K85" s="226">
        <v>7910</v>
      </c>
      <c r="L85" s="226">
        <v>1716</v>
      </c>
      <c r="M85" s="227">
        <v>1640</v>
      </c>
      <c r="N85" s="224">
        <v>76090.7</v>
      </c>
      <c r="O85" s="225">
        <v>44515</v>
      </c>
      <c r="P85" s="226">
        <v>76090.7</v>
      </c>
      <c r="Q85" s="226">
        <v>73928</v>
      </c>
      <c r="R85" s="227">
        <v>66275</v>
      </c>
      <c r="S85" s="224">
        <v>57800</v>
      </c>
      <c r="T85" s="225">
        <v>11241</v>
      </c>
      <c r="U85" s="226">
        <v>57800</v>
      </c>
      <c r="V85" s="226">
        <v>8134</v>
      </c>
      <c r="W85" s="227">
        <v>132737</v>
      </c>
      <c r="X85" s="224">
        <f t="shared" si="171"/>
        <v>133890.70000000001</v>
      </c>
      <c r="Y85" s="226">
        <f t="shared" si="172"/>
        <v>55756</v>
      </c>
      <c r="Z85" s="226">
        <f t="shared" si="173"/>
        <v>133890.70000000001</v>
      </c>
      <c r="AA85" s="226">
        <f t="shared" si="173"/>
        <v>82062</v>
      </c>
      <c r="AB85" s="227">
        <f t="shared" si="174"/>
        <v>199012</v>
      </c>
      <c r="AC85" s="224">
        <f t="shared" si="35"/>
        <v>173306.11000000002</v>
      </c>
      <c r="AD85" s="226">
        <v>173306.11000000002</v>
      </c>
      <c r="AE85" s="226">
        <f t="shared" si="175"/>
        <v>80540</v>
      </c>
      <c r="AF85" s="226">
        <f t="shared" si="176"/>
        <v>173306.11000000002</v>
      </c>
      <c r="AG85" s="226">
        <f t="shared" si="176"/>
        <v>102111</v>
      </c>
      <c r="AH85" s="227">
        <f t="shared" si="177"/>
        <v>223443</v>
      </c>
      <c r="AI85" s="228" t="s">
        <v>377</v>
      </c>
      <c r="AJ85" s="229" t="s">
        <v>331</v>
      </c>
      <c r="AK85" s="229" t="s">
        <v>276</v>
      </c>
      <c r="AL85" s="229" t="s">
        <v>277</v>
      </c>
      <c r="AM85" s="230" t="s">
        <v>378</v>
      </c>
    </row>
    <row r="86" spans="2:39" ht="13.5" customHeight="1" x14ac:dyDescent="0.15">
      <c r="B86" s="424" t="s">
        <v>381</v>
      </c>
      <c r="C86" s="223" t="s">
        <v>45</v>
      </c>
      <c r="D86" s="224">
        <v>30883.37</v>
      </c>
      <c r="E86" s="540">
        <v>37913</v>
      </c>
      <c r="F86" s="226">
        <v>30883.37</v>
      </c>
      <c r="G86" s="554">
        <v>40670</v>
      </c>
      <c r="H86" s="246">
        <v>20530</v>
      </c>
      <c r="I86" s="224">
        <v>73499</v>
      </c>
      <c r="J86" s="225">
        <v>-2500</v>
      </c>
      <c r="K86" s="226">
        <v>73499</v>
      </c>
      <c r="L86" s="226">
        <v>0</v>
      </c>
      <c r="M86" s="246">
        <v>0</v>
      </c>
      <c r="N86" s="224">
        <v>103162.8</v>
      </c>
      <c r="O86" s="225">
        <v>136726</v>
      </c>
      <c r="P86" s="226">
        <v>103162.8</v>
      </c>
      <c r="Q86" s="226">
        <v>110590</v>
      </c>
      <c r="R86" s="246">
        <v>109804</v>
      </c>
      <c r="S86" s="224">
        <v>322339</v>
      </c>
      <c r="T86" s="225">
        <v>99235</v>
      </c>
      <c r="U86" s="226">
        <v>322339</v>
      </c>
      <c r="V86" s="226">
        <v>20151</v>
      </c>
      <c r="W86" s="246">
        <v>33526</v>
      </c>
      <c r="X86" s="224">
        <f t="shared" si="171"/>
        <v>425501.8</v>
      </c>
      <c r="Y86" s="226">
        <f t="shared" si="172"/>
        <v>235961</v>
      </c>
      <c r="Z86" s="226">
        <f t="shared" si="173"/>
        <v>425501.8</v>
      </c>
      <c r="AA86" s="226">
        <f t="shared" si="173"/>
        <v>130741</v>
      </c>
      <c r="AB86" s="227">
        <f t="shared" si="174"/>
        <v>143330</v>
      </c>
      <c r="AC86" s="224">
        <f t="shared" si="35"/>
        <v>529884.16999999993</v>
      </c>
      <c r="AD86" s="226">
        <v>312884.17</v>
      </c>
      <c r="AE86" s="226">
        <f t="shared" si="175"/>
        <v>271374</v>
      </c>
      <c r="AF86" s="226">
        <f t="shared" si="176"/>
        <v>529884.16999999993</v>
      </c>
      <c r="AG86" s="226">
        <f t="shared" si="176"/>
        <v>171411</v>
      </c>
      <c r="AH86" s="227">
        <f t="shared" si="177"/>
        <v>163860</v>
      </c>
      <c r="AI86" s="228" t="s">
        <v>377</v>
      </c>
      <c r="AJ86" s="229" t="s">
        <v>331</v>
      </c>
      <c r="AK86" s="229" t="s">
        <v>276</v>
      </c>
      <c r="AL86" s="229" t="s">
        <v>277</v>
      </c>
      <c r="AM86" s="230" t="s">
        <v>378</v>
      </c>
    </row>
    <row r="87" spans="2:39" ht="13.5" customHeight="1" x14ac:dyDescent="0.15">
      <c r="B87" s="424" t="s">
        <v>180</v>
      </c>
      <c r="C87" s="223" t="s">
        <v>46</v>
      </c>
      <c r="D87" s="224">
        <v>12031.61</v>
      </c>
      <c r="E87" s="540">
        <v>5519</v>
      </c>
      <c r="F87" s="226">
        <v>12031.61</v>
      </c>
      <c r="G87" s="554">
        <v>0</v>
      </c>
      <c r="H87" s="227">
        <v>0</v>
      </c>
      <c r="I87" s="224">
        <v>6124</v>
      </c>
      <c r="J87" s="225">
        <v>3854</v>
      </c>
      <c r="K87" s="226">
        <v>6124</v>
      </c>
      <c r="L87" s="226">
        <v>0</v>
      </c>
      <c r="M87" s="227">
        <v>0</v>
      </c>
      <c r="N87" s="224">
        <v>61814.7</v>
      </c>
      <c r="O87" s="225">
        <v>48825</v>
      </c>
      <c r="P87" s="226">
        <v>61814.7</v>
      </c>
      <c r="Q87" s="226">
        <v>0</v>
      </c>
      <c r="R87" s="227">
        <v>0</v>
      </c>
      <c r="S87" s="224">
        <v>46522</v>
      </c>
      <c r="T87" s="225">
        <v>12217</v>
      </c>
      <c r="U87" s="226">
        <v>46522</v>
      </c>
      <c r="V87" s="226">
        <v>0</v>
      </c>
      <c r="W87" s="227">
        <v>0</v>
      </c>
      <c r="X87" s="224">
        <f t="shared" si="171"/>
        <v>108336.7</v>
      </c>
      <c r="Y87" s="226">
        <f t="shared" si="172"/>
        <v>61042</v>
      </c>
      <c r="Z87" s="226">
        <f t="shared" si="173"/>
        <v>108336.7</v>
      </c>
      <c r="AA87" s="226">
        <f t="shared" si="173"/>
        <v>0</v>
      </c>
      <c r="AB87" s="227">
        <f t="shared" si="174"/>
        <v>0</v>
      </c>
      <c r="AC87" s="224">
        <f t="shared" si="35"/>
        <v>126492.31</v>
      </c>
      <c r="AD87" s="226">
        <v>126492.31</v>
      </c>
      <c r="AE87" s="226">
        <f t="shared" si="175"/>
        <v>70415</v>
      </c>
      <c r="AF87" s="226">
        <f t="shared" si="176"/>
        <v>126492.31</v>
      </c>
      <c r="AG87" s="226">
        <f t="shared" si="176"/>
        <v>0</v>
      </c>
      <c r="AH87" s="227">
        <f t="shared" si="177"/>
        <v>0</v>
      </c>
      <c r="AI87" s="228" t="s">
        <v>377</v>
      </c>
      <c r="AJ87" s="229" t="s">
        <v>331</v>
      </c>
      <c r="AK87" s="229" t="s">
        <v>276</v>
      </c>
      <c r="AL87" s="229" t="s">
        <v>288</v>
      </c>
      <c r="AM87" s="230" t="s">
        <v>378</v>
      </c>
    </row>
    <row r="88" spans="2:39" ht="13.5" customHeight="1" x14ac:dyDescent="0.15">
      <c r="B88" s="424" t="s">
        <v>382</v>
      </c>
      <c r="C88" s="241" t="s">
        <v>47</v>
      </c>
      <c r="D88" s="224">
        <v>80081.2</v>
      </c>
      <c r="E88" s="540">
        <v>67192</v>
      </c>
      <c r="F88" s="226">
        <v>80081.2</v>
      </c>
      <c r="G88" s="554">
        <v>54162</v>
      </c>
      <c r="H88" s="227">
        <v>95198</v>
      </c>
      <c r="I88" s="224">
        <v>36490</v>
      </c>
      <c r="J88" s="225">
        <v>14239</v>
      </c>
      <c r="K88" s="226">
        <v>36490</v>
      </c>
      <c r="L88" s="226">
        <v>14239</v>
      </c>
      <c r="M88" s="227">
        <v>13617</v>
      </c>
      <c r="N88" s="224">
        <v>229452.4</v>
      </c>
      <c r="O88" s="225">
        <v>123194</v>
      </c>
      <c r="P88" s="226">
        <v>229452.4</v>
      </c>
      <c r="Q88" s="226">
        <v>190023</v>
      </c>
      <c r="R88" s="227">
        <v>176330</v>
      </c>
      <c r="S88" s="224">
        <v>330519</v>
      </c>
      <c r="T88" s="225">
        <v>55710</v>
      </c>
      <c r="U88" s="226">
        <v>330519</v>
      </c>
      <c r="V88" s="226">
        <v>87674</v>
      </c>
      <c r="W88" s="227">
        <v>975655</v>
      </c>
      <c r="X88" s="224">
        <f t="shared" si="171"/>
        <v>559971.4</v>
      </c>
      <c r="Y88" s="226">
        <f t="shared" si="172"/>
        <v>178904</v>
      </c>
      <c r="Z88" s="226">
        <f t="shared" si="173"/>
        <v>559971.4</v>
      </c>
      <c r="AA88" s="226">
        <f t="shared" si="173"/>
        <v>277697</v>
      </c>
      <c r="AB88" s="227">
        <f t="shared" si="174"/>
        <v>1151985</v>
      </c>
      <c r="AC88" s="224">
        <f t="shared" si="35"/>
        <v>676542.6</v>
      </c>
      <c r="AD88" s="226">
        <v>455542.60000000003</v>
      </c>
      <c r="AE88" s="226">
        <f t="shared" si="175"/>
        <v>260335</v>
      </c>
      <c r="AF88" s="226">
        <f t="shared" si="176"/>
        <v>676542.6</v>
      </c>
      <c r="AG88" s="226">
        <f t="shared" si="176"/>
        <v>346098</v>
      </c>
      <c r="AH88" s="227">
        <f t="shared" si="177"/>
        <v>1260800</v>
      </c>
      <c r="AI88" s="228" t="s">
        <v>377</v>
      </c>
      <c r="AJ88" s="229" t="s">
        <v>331</v>
      </c>
      <c r="AK88" s="229" t="s">
        <v>276</v>
      </c>
      <c r="AL88" s="229" t="s">
        <v>277</v>
      </c>
      <c r="AM88" s="230" t="s">
        <v>378</v>
      </c>
    </row>
    <row r="89" spans="2:39" ht="13.5" customHeight="1" x14ac:dyDescent="0.15">
      <c r="B89" s="424" t="s">
        <v>383</v>
      </c>
      <c r="C89" s="241" t="s">
        <v>48</v>
      </c>
      <c r="D89" s="224">
        <v>115455.35</v>
      </c>
      <c r="E89" s="540">
        <v>134429</v>
      </c>
      <c r="F89" s="226">
        <v>115455.35</v>
      </c>
      <c r="G89" s="554">
        <v>136308</v>
      </c>
      <c r="H89" s="246">
        <v>86076</v>
      </c>
      <c r="I89" s="224">
        <v>52056</v>
      </c>
      <c r="J89" s="225">
        <v>35026</v>
      </c>
      <c r="K89" s="226">
        <v>52056</v>
      </c>
      <c r="L89" s="226">
        <v>25954</v>
      </c>
      <c r="M89" s="246">
        <v>26735</v>
      </c>
      <c r="N89" s="224">
        <v>691737.9</v>
      </c>
      <c r="O89" s="225">
        <v>788993</v>
      </c>
      <c r="P89" s="226">
        <v>691737.9</v>
      </c>
      <c r="Q89" s="226">
        <v>588209</v>
      </c>
      <c r="R89" s="246">
        <v>543002</v>
      </c>
      <c r="S89" s="224">
        <v>978978</v>
      </c>
      <c r="T89" s="225">
        <v>263013</v>
      </c>
      <c r="U89" s="226">
        <v>978978</v>
      </c>
      <c r="V89" s="226">
        <v>198830</v>
      </c>
      <c r="W89" s="246">
        <v>233536</v>
      </c>
      <c r="X89" s="224">
        <f t="shared" si="171"/>
        <v>1670715.9</v>
      </c>
      <c r="Y89" s="226">
        <f t="shared" si="172"/>
        <v>1052006</v>
      </c>
      <c r="Z89" s="226">
        <f t="shared" si="173"/>
        <v>1670715.9</v>
      </c>
      <c r="AA89" s="226">
        <f t="shared" si="173"/>
        <v>787039</v>
      </c>
      <c r="AB89" s="227">
        <f t="shared" si="174"/>
        <v>776538</v>
      </c>
      <c r="AC89" s="224">
        <f t="shared" si="35"/>
        <v>1838227.25</v>
      </c>
      <c r="AD89" s="226">
        <v>1300227.25</v>
      </c>
      <c r="AE89" s="226">
        <f t="shared" si="175"/>
        <v>1221461</v>
      </c>
      <c r="AF89" s="226">
        <f t="shared" si="176"/>
        <v>1838227.25</v>
      </c>
      <c r="AG89" s="226">
        <f t="shared" si="176"/>
        <v>949301</v>
      </c>
      <c r="AH89" s="227">
        <f t="shared" si="177"/>
        <v>889349</v>
      </c>
      <c r="AI89" s="228" t="s">
        <v>377</v>
      </c>
      <c r="AJ89" s="229" t="s">
        <v>331</v>
      </c>
      <c r="AK89" s="229" t="s">
        <v>276</v>
      </c>
      <c r="AL89" s="229" t="s">
        <v>277</v>
      </c>
      <c r="AM89" s="230" t="s">
        <v>378</v>
      </c>
    </row>
    <row r="90" spans="2:39" ht="13.5" customHeight="1" x14ac:dyDescent="0.15">
      <c r="B90" s="424" t="s">
        <v>384</v>
      </c>
      <c r="C90" s="241" t="s">
        <v>49</v>
      </c>
      <c r="D90" s="224">
        <v>29459.07</v>
      </c>
      <c r="E90" s="540">
        <v>25695</v>
      </c>
      <c r="F90" s="226">
        <v>29459.07</v>
      </c>
      <c r="G90" s="554">
        <v>18249</v>
      </c>
      <c r="H90" s="247">
        <v>14738</v>
      </c>
      <c r="I90" s="224">
        <v>10003</v>
      </c>
      <c r="J90" s="225">
        <v>14409</v>
      </c>
      <c r="K90" s="226">
        <v>10003</v>
      </c>
      <c r="L90" s="226">
        <v>9800</v>
      </c>
      <c r="M90" s="247">
        <v>10341</v>
      </c>
      <c r="N90" s="224">
        <v>105734.1</v>
      </c>
      <c r="O90" s="225">
        <v>111456</v>
      </c>
      <c r="P90" s="226">
        <v>105734.1</v>
      </c>
      <c r="Q90" s="226">
        <v>102236</v>
      </c>
      <c r="R90" s="247">
        <v>59670</v>
      </c>
      <c r="S90" s="224">
        <v>15130</v>
      </c>
      <c r="T90" s="225">
        <v>5171</v>
      </c>
      <c r="U90" s="226">
        <v>15130</v>
      </c>
      <c r="V90" s="226">
        <v>3017</v>
      </c>
      <c r="W90" s="247">
        <v>2290</v>
      </c>
      <c r="X90" s="224">
        <f t="shared" si="171"/>
        <v>120864.1</v>
      </c>
      <c r="Y90" s="226">
        <f t="shared" si="172"/>
        <v>116627</v>
      </c>
      <c r="Z90" s="226">
        <f t="shared" si="173"/>
        <v>120864.1</v>
      </c>
      <c r="AA90" s="226">
        <f t="shared" si="173"/>
        <v>105253</v>
      </c>
      <c r="AB90" s="227">
        <f t="shared" si="174"/>
        <v>61960</v>
      </c>
      <c r="AC90" s="224">
        <f t="shared" si="35"/>
        <v>160326.17000000001</v>
      </c>
      <c r="AD90" s="226">
        <v>160326.17000000001</v>
      </c>
      <c r="AE90" s="226">
        <f t="shared" si="175"/>
        <v>156731</v>
      </c>
      <c r="AF90" s="226">
        <f t="shared" si="176"/>
        <v>160326.17000000001</v>
      </c>
      <c r="AG90" s="226">
        <f t="shared" si="176"/>
        <v>133302</v>
      </c>
      <c r="AH90" s="227">
        <f t="shared" si="177"/>
        <v>87039</v>
      </c>
      <c r="AI90" s="228" t="s">
        <v>377</v>
      </c>
      <c r="AJ90" s="229" t="s">
        <v>331</v>
      </c>
      <c r="AK90" s="229" t="s">
        <v>276</v>
      </c>
      <c r="AL90" s="229" t="s">
        <v>277</v>
      </c>
      <c r="AM90" s="230" t="s">
        <v>378</v>
      </c>
    </row>
    <row r="91" spans="2:39" ht="13.5" customHeight="1" x14ac:dyDescent="0.15">
      <c r="B91" s="424" t="s">
        <v>385</v>
      </c>
      <c r="C91" s="241" t="s">
        <v>386</v>
      </c>
      <c r="D91" s="224">
        <v>85617.9</v>
      </c>
      <c r="E91" s="540">
        <v>143020</v>
      </c>
      <c r="F91" s="226">
        <v>85617.9</v>
      </c>
      <c r="G91" s="554">
        <v>70913</v>
      </c>
      <c r="H91" s="233">
        <v>75905</v>
      </c>
      <c r="I91" s="224">
        <v>22456</v>
      </c>
      <c r="J91" s="225">
        <v>13676</v>
      </c>
      <c r="K91" s="226">
        <v>22456</v>
      </c>
      <c r="L91" s="226">
        <v>0</v>
      </c>
      <c r="M91" s="233">
        <v>0</v>
      </c>
      <c r="N91" s="224">
        <v>342041.5</v>
      </c>
      <c r="O91" s="225">
        <v>355146</v>
      </c>
      <c r="P91" s="226">
        <v>342041.5</v>
      </c>
      <c r="Q91" s="226">
        <v>506449</v>
      </c>
      <c r="R91" s="233">
        <v>397747</v>
      </c>
      <c r="S91" s="224">
        <v>0</v>
      </c>
      <c r="T91" s="225">
        <v>0</v>
      </c>
      <c r="U91" s="226">
        <v>0</v>
      </c>
      <c r="V91" s="226">
        <v>0</v>
      </c>
      <c r="W91" s="233">
        <v>0</v>
      </c>
      <c r="X91" s="224">
        <f t="shared" si="171"/>
        <v>342041.5</v>
      </c>
      <c r="Y91" s="226">
        <f t="shared" si="172"/>
        <v>355146</v>
      </c>
      <c r="Z91" s="226">
        <f t="shared" si="173"/>
        <v>342041.5</v>
      </c>
      <c r="AA91" s="226">
        <f t="shared" si="173"/>
        <v>506449</v>
      </c>
      <c r="AB91" s="227">
        <f t="shared" si="174"/>
        <v>397747</v>
      </c>
      <c r="AC91" s="224">
        <f t="shared" si="35"/>
        <v>450115.4</v>
      </c>
      <c r="AD91" s="226">
        <v>450115.4</v>
      </c>
      <c r="AE91" s="226">
        <f t="shared" si="175"/>
        <v>511842</v>
      </c>
      <c r="AF91" s="226">
        <f t="shared" si="176"/>
        <v>450115.4</v>
      </c>
      <c r="AG91" s="226">
        <f t="shared" si="176"/>
        <v>577362</v>
      </c>
      <c r="AH91" s="227">
        <f t="shared" si="177"/>
        <v>473652</v>
      </c>
      <c r="AI91" s="228" t="s">
        <v>377</v>
      </c>
      <c r="AJ91" s="229" t="s">
        <v>331</v>
      </c>
      <c r="AK91" s="229" t="s">
        <v>291</v>
      </c>
      <c r="AL91" s="229" t="s">
        <v>277</v>
      </c>
      <c r="AM91" s="230" t="s">
        <v>378</v>
      </c>
    </row>
    <row r="92" spans="2:39" ht="13.5" customHeight="1" x14ac:dyDescent="0.15">
      <c r="B92" s="424" t="s">
        <v>387</v>
      </c>
      <c r="C92" s="241" t="s">
        <v>50</v>
      </c>
      <c r="D92" s="224">
        <v>54525.85</v>
      </c>
      <c r="E92" s="540">
        <v>56998</v>
      </c>
      <c r="F92" s="226">
        <v>54525.85</v>
      </c>
      <c r="G92" s="554">
        <v>34668</v>
      </c>
      <c r="H92" s="233">
        <v>22453</v>
      </c>
      <c r="I92" s="224">
        <v>20006</v>
      </c>
      <c r="J92" s="225">
        <v>-688</v>
      </c>
      <c r="K92" s="226">
        <v>20006</v>
      </c>
      <c r="L92" s="226">
        <v>312</v>
      </c>
      <c r="M92" s="233">
        <v>298</v>
      </c>
      <c r="N92" s="224">
        <v>235033</v>
      </c>
      <c r="O92" s="225">
        <v>213790</v>
      </c>
      <c r="P92" s="226">
        <v>235033</v>
      </c>
      <c r="Q92" s="226">
        <v>214360</v>
      </c>
      <c r="R92" s="233">
        <v>164071</v>
      </c>
      <c r="S92" s="224">
        <v>132412</v>
      </c>
      <c r="T92" s="225">
        <v>331096</v>
      </c>
      <c r="U92" s="226">
        <v>132412</v>
      </c>
      <c r="V92" s="226">
        <v>14292</v>
      </c>
      <c r="W92" s="233">
        <v>15293</v>
      </c>
      <c r="X92" s="224">
        <f t="shared" si="171"/>
        <v>367445</v>
      </c>
      <c r="Y92" s="226">
        <f t="shared" si="172"/>
        <v>544886</v>
      </c>
      <c r="Z92" s="226">
        <f t="shared" si="173"/>
        <v>367445</v>
      </c>
      <c r="AA92" s="226">
        <f t="shared" si="173"/>
        <v>228652</v>
      </c>
      <c r="AB92" s="227">
        <f t="shared" si="174"/>
        <v>179364</v>
      </c>
      <c r="AC92" s="224">
        <f t="shared" si="35"/>
        <v>441976.85</v>
      </c>
      <c r="AD92" s="226">
        <v>441976.85</v>
      </c>
      <c r="AE92" s="226">
        <f t="shared" si="175"/>
        <v>601196</v>
      </c>
      <c r="AF92" s="226">
        <f t="shared" si="176"/>
        <v>441976.85</v>
      </c>
      <c r="AG92" s="226">
        <f t="shared" si="176"/>
        <v>263632</v>
      </c>
      <c r="AH92" s="227">
        <f t="shared" si="177"/>
        <v>202115</v>
      </c>
      <c r="AI92" s="228" t="s">
        <v>377</v>
      </c>
      <c r="AJ92" s="229" t="s">
        <v>331</v>
      </c>
      <c r="AK92" s="229" t="s">
        <v>276</v>
      </c>
      <c r="AL92" s="229" t="s">
        <v>277</v>
      </c>
      <c r="AM92" s="230" t="s">
        <v>378</v>
      </c>
    </row>
    <row r="93" spans="2:39" ht="13.5" customHeight="1" x14ac:dyDescent="0.15">
      <c r="B93" s="424" t="s">
        <v>388</v>
      </c>
      <c r="C93" s="241" t="s">
        <v>51</v>
      </c>
      <c r="D93" s="224">
        <v>25246.62</v>
      </c>
      <c r="E93" s="540">
        <v>24488</v>
      </c>
      <c r="F93" s="226">
        <v>25246.62</v>
      </c>
      <c r="G93" s="554">
        <v>25869</v>
      </c>
      <c r="H93" s="233">
        <v>23338</v>
      </c>
      <c r="I93" s="224">
        <v>33561</v>
      </c>
      <c r="J93" s="225">
        <v>-1522</v>
      </c>
      <c r="K93" s="226">
        <v>33561</v>
      </c>
      <c r="L93" s="226">
        <v>16146</v>
      </c>
      <c r="M93" s="233">
        <v>9076</v>
      </c>
      <c r="N93" s="224">
        <v>120467.9</v>
      </c>
      <c r="O93" s="225">
        <v>46142</v>
      </c>
      <c r="P93" s="226">
        <v>120467.9</v>
      </c>
      <c r="Q93" s="226">
        <v>148329</v>
      </c>
      <c r="R93" s="233">
        <v>89128</v>
      </c>
      <c r="S93" s="224">
        <v>3795</v>
      </c>
      <c r="T93" s="225">
        <v>4944</v>
      </c>
      <c r="U93" s="226">
        <v>3795</v>
      </c>
      <c r="V93" s="226">
        <v>16977</v>
      </c>
      <c r="W93" s="233">
        <v>2948</v>
      </c>
      <c r="X93" s="224">
        <f t="shared" si="171"/>
        <v>124262.9</v>
      </c>
      <c r="Y93" s="226">
        <f t="shared" si="172"/>
        <v>51086</v>
      </c>
      <c r="Z93" s="226">
        <f t="shared" si="173"/>
        <v>124262.9</v>
      </c>
      <c r="AA93" s="226">
        <f t="shared" si="173"/>
        <v>165306</v>
      </c>
      <c r="AB93" s="227">
        <f t="shared" si="174"/>
        <v>92076</v>
      </c>
      <c r="AC93" s="224">
        <f t="shared" si="35"/>
        <v>183070.52</v>
      </c>
      <c r="AD93" s="226">
        <v>183070.52</v>
      </c>
      <c r="AE93" s="226">
        <f t="shared" si="175"/>
        <v>74052</v>
      </c>
      <c r="AF93" s="226">
        <f t="shared" si="176"/>
        <v>183070.52</v>
      </c>
      <c r="AG93" s="226">
        <f t="shared" si="176"/>
        <v>207321</v>
      </c>
      <c r="AH93" s="227">
        <f t="shared" si="177"/>
        <v>124490</v>
      </c>
      <c r="AI93" s="228" t="s">
        <v>377</v>
      </c>
      <c r="AJ93" s="229" t="s">
        <v>331</v>
      </c>
      <c r="AK93" s="229" t="s">
        <v>276</v>
      </c>
      <c r="AL93" s="229" t="s">
        <v>277</v>
      </c>
      <c r="AM93" s="230" t="s">
        <v>378</v>
      </c>
    </row>
    <row r="94" spans="2:39" ht="13.5" customHeight="1" x14ac:dyDescent="0.15">
      <c r="B94" s="424" t="s">
        <v>389</v>
      </c>
      <c r="C94" s="241" t="s">
        <v>52</v>
      </c>
      <c r="D94" s="224">
        <v>134751.07999999999</v>
      </c>
      <c r="E94" s="540">
        <v>109074</v>
      </c>
      <c r="F94" s="226">
        <v>134751.07999999999</v>
      </c>
      <c r="G94" s="554">
        <v>85847</v>
      </c>
      <c r="H94" s="227">
        <v>159892</v>
      </c>
      <c r="I94" s="224">
        <v>39297</v>
      </c>
      <c r="J94" s="225">
        <v>3128</v>
      </c>
      <c r="K94" s="226">
        <v>39297</v>
      </c>
      <c r="L94" s="226">
        <v>0</v>
      </c>
      <c r="M94" s="227">
        <v>0</v>
      </c>
      <c r="N94" s="224">
        <v>307177.8</v>
      </c>
      <c r="O94" s="225">
        <v>280585</v>
      </c>
      <c r="P94" s="226">
        <v>307177.8</v>
      </c>
      <c r="Q94" s="226">
        <v>271403</v>
      </c>
      <c r="R94" s="227">
        <v>255192</v>
      </c>
      <c r="S94" s="224">
        <v>634183</v>
      </c>
      <c r="T94" s="225">
        <v>96143</v>
      </c>
      <c r="U94" s="226">
        <v>634183</v>
      </c>
      <c r="V94" s="226">
        <v>318191</v>
      </c>
      <c r="W94" s="227">
        <v>1759924</v>
      </c>
      <c r="X94" s="224">
        <f t="shared" si="171"/>
        <v>941360.8</v>
      </c>
      <c r="Y94" s="226">
        <f t="shared" si="172"/>
        <v>376728</v>
      </c>
      <c r="Z94" s="226">
        <f t="shared" si="173"/>
        <v>941360.8</v>
      </c>
      <c r="AA94" s="226">
        <f t="shared" si="173"/>
        <v>589594</v>
      </c>
      <c r="AB94" s="227">
        <f t="shared" si="174"/>
        <v>2015116</v>
      </c>
      <c r="AC94" s="224">
        <f t="shared" si="35"/>
        <v>1115408.8800000001</v>
      </c>
      <c r="AD94" s="226">
        <v>687408.88</v>
      </c>
      <c r="AE94" s="226">
        <f t="shared" si="175"/>
        <v>488930</v>
      </c>
      <c r="AF94" s="226">
        <f t="shared" si="176"/>
        <v>1115408.8800000001</v>
      </c>
      <c r="AG94" s="226">
        <f t="shared" si="176"/>
        <v>675441</v>
      </c>
      <c r="AH94" s="227">
        <f t="shared" si="177"/>
        <v>2175008</v>
      </c>
      <c r="AI94" s="228" t="s">
        <v>377</v>
      </c>
      <c r="AJ94" s="229" t="s">
        <v>331</v>
      </c>
      <c r="AK94" s="229" t="s">
        <v>276</v>
      </c>
      <c r="AL94" s="229" t="s">
        <v>277</v>
      </c>
      <c r="AM94" s="230" t="s">
        <v>378</v>
      </c>
    </row>
    <row r="95" spans="2:39" ht="13.5" customHeight="1" x14ac:dyDescent="0.15">
      <c r="B95" s="424" t="s">
        <v>390</v>
      </c>
      <c r="C95" s="241" t="s">
        <v>53</v>
      </c>
      <c r="D95" s="224">
        <v>83219.25</v>
      </c>
      <c r="E95" s="540">
        <v>75186</v>
      </c>
      <c r="F95" s="226">
        <v>83219.25</v>
      </c>
      <c r="G95" s="554">
        <v>57244</v>
      </c>
      <c r="H95" s="233">
        <v>75073</v>
      </c>
      <c r="I95" s="224">
        <v>35470</v>
      </c>
      <c r="J95" s="225">
        <v>60466</v>
      </c>
      <c r="K95" s="226">
        <v>35470</v>
      </c>
      <c r="L95" s="226">
        <v>34750</v>
      </c>
      <c r="M95" s="233">
        <v>0</v>
      </c>
      <c r="N95" s="224">
        <v>278649.09999999998</v>
      </c>
      <c r="O95" s="225">
        <v>253931</v>
      </c>
      <c r="P95" s="226">
        <v>278649.09999999998</v>
      </c>
      <c r="Q95" s="226">
        <v>194743</v>
      </c>
      <c r="R95" s="233">
        <v>154981</v>
      </c>
      <c r="S95" s="224">
        <v>185861</v>
      </c>
      <c r="T95" s="225">
        <v>128784</v>
      </c>
      <c r="U95" s="226">
        <v>185861</v>
      </c>
      <c r="V95" s="226">
        <v>357174</v>
      </c>
      <c r="W95" s="233">
        <v>572009</v>
      </c>
      <c r="X95" s="224">
        <f t="shared" si="171"/>
        <v>464510.1</v>
      </c>
      <c r="Y95" s="226">
        <f t="shared" si="172"/>
        <v>382715</v>
      </c>
      <c r="Z95" s="226">
        <f t="shared" si="173"/>
        <v>464510.1</v>
      </c>
      <c r="AA95" s="226">
        <f t="shared" si="173"/>
        <v>551917</v>
      </c>
      <c r="AB95" s="227">
        <f t="shared" si="174"/>
        <v>726990</v>
      </c>
      <c r="AC95" s="224">
        <f t="shared" si="35"/>
        <v>583199.35</v>
      </c>
      <c r="AD95" s="226">
        <v>583199.35</v>
      </c>
      <c r="AE95" s="226">
        <f t="shared" si="175"/>
        <v>518367</v>
      </c>
      <c r="AF95" s="226">
        <f t="shared" si="176"/>
        <v>583199.35</v>
      </c>
      <c r="AG95" s="226">
        <f t="shared" si="176"/>
        <v>643911</v>
      </c>
      <c r="AH95" s="227">
        <f t="shared" si="177"/>
        <v>802063</v>
      </c>
      <c r="AI95" s="228" t="s">
        <v>377</v>
      </c>
      <c r="AJ95" s="229" t="s">
        <v>331</v>
      </c>
      <c r="AK95" s="229" t="s">
        <v>276</v>
      </c>
      <c r="AL95" s="229" t="s">
        <v>277</v>
      </c>
      <c r="AM95" s="230" t="s">
        <v>378</v>
      </c>
    </row>
    <row r="96" spans="2:39" ht="13.5" customHeight="1" x14ac:dyDescent="0.15">
      <c r="B96" s="424" t="s">
        <v>391</v>
      </c>
      <c r="C96" s="241" t="s">
        <v>54</v>
      </c>
      <c r="D96" s="224">
        <v>138800.93</v>
      </c>
      <c r="E96" s="540">
        <v>134930</v>
      </c>
      <c r="F96" s="226">
        <v>138800.93</v>
      </c>
      <c r="G96" s="554">
        <v>83504</v>
      </c>
      <c r="H96" s="233">
        <v>60012</v>
      </c>
      <c r="I96" s="224">
        <v>70698</v>
      </c>
      <c r="J96" s="225">
        <v>45351</v>
      </c>
      <c r="K96" s="226">
        <v>70698</v>
      </c>
      <c r="L96" s="226">
        <v>62382</v>
      </c>
      <c r="M96" s="233">
        <v>27723</v>
      </c>
      <c r="N96" s="224">
        <v>348007</v>
      </c>
      <c r="O96" s="225">
        <v>338251</v>
      </c>
      <c r="P96" s="226">
        <v>348007</v>
      </c>
      <c r="Q96" s="226">
        <v>297226</v>
      </c>
      <c r="R96" s="233">
        <v>286252</v>
      </c>
      <c r="S96" s="224">
        <v>336653</v>
      </c>
      <c r="T96" s="225">
        <v>28864</v>
      </c>
      <c r="U96" s="226">
        <v>336653</v>
      </c>
      <c r="V96" s="226">
        <v>39013</v>
      </c>
      <c r="W96" s="233">
        <v>50163</v>
      </c>
      <c r="X96" s="224">
        <f t="shared" si="171"/>
        <v>684660</v>
      </c>
      <c r="Y96" s="226">
        <f t="shared" si="172"/>
        <v>367115</v>
      </c>
      <c r="Z96" s="226">
        <f t="shared" si="173"/>
        <v>684660</v>
      </c>
      <c r="AA96" s="226">
        <f t="shared" si="173"/>
        <v>336239</v>
      </c>
      <c r="AB96" s="227">
        <f t="shared" si="174"/>
        <v>336415</v>
      </c>
      <c r="AC96" s="224">
        <f t="shared" ref="AC96:AC108" si="178">+D96+I96+X96</f>
        <v>894158.92999999993</v>
      </c>
      <c r="AD96" s="226">
        <v>450158.93</v>
      </c>
      <c r="AE96" s="226">
        <f t="shared" si="175"/>
        <v>547396</v>
      </c>
      <c r="AF96" s="226">
        <f t="shared" si="176"/>
        <v>894158.92999999993</v>
      </c>
      <c r="AG96" s="226">
        <f t="shared" si="176"/>
        <v>482125</v>
      </c>
      <c r="AH96" s="227">
        <f t="shared" si="177"/>
        <v>424150</v>
      </c>
      <c r="AI96" s="228" t="s">
        <v>377</v>
      </c>
      <c r="AJ96" s="229" t="s">
        <v>331</v>
      </c>
      <c r="AK96" s="229" t="s">
        <v>276</v>
      </c>
      <c r="AL96" s="229" t="s">
        <v>277</v>
      </c>
      <c r="AM96" s="230" t="s">
        <v>378</v>
      </c>
    </row>
    <row r="97" spans="2:39" ht="13.5" customHeight="1" x14ac:dyDescent="0.15">
      <c r="B97" s="424" t="s">
        <v>392</v>
      </c>
      <c r="C97" s="241" t="s">
        <v>55</v>
      </c>
      <c r="D97" s="224">
        <v>128458.67</v>
      </c>
      <c r="E97" s="540">
        <v>149716</v>
      </c>
      <c r="F97" s="226">
        <v>128458.67</v>
      </c>
      <c r="G97" s="554">
        <v>90937</v>
      </c>
      <c r="H97" s="233">
        <v>72910</v>
      </c>
      <c r="I97" s="224">
        <v>41594</v>
      </c>
      <c r="J97" s="225">
        <v>72234</v>
      </c>
      <c r="K97" s="226">
        <v>41594</v>
      </c>
      <c r="L97" s="226">
        <v>40750</v>
      </c>
      <c r="M97" s="233">
        <v>63970</v>
      </c>
      <c r="N97" s="224">
        <v>516337.5</v>
      </c>
      <c r="O97" s="225">
        <v>578559</v>
      </c>
      <c r="P97" s="226">
        <v>516337.5</v>
      </c>
      <c r="Q97" s="226">
        <v>482856</v>
      </c>
      <c r="R97" s="233">
        <v>413993</v>
      </c>
      <c r="S97" s="224">
        <v>426001</v>
      </c>
      <c r="T97" s="225">
        <v>131840</v>
      </c>
      <c r="U97" s="226">
        <v>426001</v>
      </c>
      <c r="V97" s="226">
        <v>83486</v>
      </c>
      <c r="W97" s="233">
        <v>174075</v>
      </c>
      <c r="X97" s="224">
        <f t="shared" si="171"/>
        <v>942338.5</v>
      </c>
      <c r="Y97" s="226">
        <f t="shared" si="172"/>
        <v>710399</v>
      </c>
      <c r="Z97" s="226">
        <f t="shared" si="173"/>
        <v>942338.5</v>
      </c>
      <c r="AA97" s="226">
        <f t="shared" si="173"/>
        <v>566342</v>
      </c>
      <c r="AB97" s="227">
        <f t="shared" si="174"/>
        <v>588068</v>
      </c>
      <c r="AC97" s="224">
        <f t="shared" si="178"/>
        <v>1112391.17</v>
      </c>
      <c r="AD97" s="226">
        <v>1112391.17</v>
      </c>
      <c r="AE97" s="226">
        <f t="shared" si="175"/>
        <v>932349</v>
      </c>
      <c r="AF97" s="226">
        <f t="shared" si="176"/>
        <v>1112391.17</v>
      </c>
      <c r="AG97" s="226">
        <f t="shared" si="176"/>
        <v>698029</v>
      </c>
      <c r="AH97" s="227">
        <f t="shared" si="177"/>
        <v>724948</v>
      </c>
      <c r="AI97" s="228" t="s">
        <v>377</v>
      </c>
      <c r="AJ97" s="229" t="s">
        <v>331</v>
      </c>
      <c r="AK97" s="229" t="s">
        <v>276</v>
      </c>
      <c r="AL97" s="229" t="s">
        <v>277</v>
      </c>
      <c r="AM97" s="230" t="s">
        <v>378</v>
      </c>
    </row>
    <row r="98" spans="2:39" ht="13.5" customHeight="1" x14ac:dyDescent="0.15">
      <c r="B98" s="424" t="s">
        <v>393</v>
      </c>
      <c r="C98" s="241" t="s">
        <v>56</v>
      </c>
      <c r="D98" s="224">
        <v>83930.81</v>
      </c>
      <c r="E98" s="540">
        <v>57265</v>
      </c>
      <c r="F98" s="226">
        <v>83930.81</v>
      </c>
      <c r="G98" s="554">
        <v>39016</v>
      </c>
      <c r="H98" s="233">
        <v>34650</v>
      </c>
      <c r="I98" s="224">
        <v>55884</v>
      </c>
      <c r="J98" s="225">
        <v>23460</v>
      </c>
      <c r="K98" s="226">
        <v>55884</v>
      </c>
      <c r="L98" s="226">
        <v>19119</v>
      </c>
      <c r="M98" s="233">
        <v>18284</v>
      </c>
      <c r="N98" s="224">
        <v>171345.9</v>
      </c>
      <c r="O98" s="225">
        <v>118258</v>
      </c>
      <c r="P98" s="226">
        <v>171345.9</v>
      </c>
      <c r="Q98" s="226">
        <v>169985</v>
      </c>
      <c r="R98" s="233">
        <v>147799</v>
      </c>
      <c r="S98" s="224">
        <v>50849</v>
      </c>
      <c r="T98" s="225">
        <v>47788</v>
      </c>
      <c r="U98" s="226">
        <v>50849</v>
      </c>
      <c r="V98" s="226">
        <v>48778</v>
      </c>
      <c r="W98" s="233">
        <v>45870</v>
      </c>
      <c r="X98" s="224">
        <f t="shared" si="171"/>
        <v>222194.9</v>
      </c>
      <c r="Y98" s="226">
        <f t="shared" si="172"/>
        <v>166046</v>
      </c>
      <c r="Z98" s="226">
        <f t="shared" si="173"/>
        <v>222194.9</v>
      </c>
      <c r="AA98" s="226">
        <f t="shared" si="173"/>
        <v>218763</v>
      </c>
      <c r="AB98" s="227">
        <f t="shared" si="174"/>
        <v>193669</v>
      </c>
      <c r="AC98" s="224">
        <f t="shared" si="178"/>
        <v>362009.70999999996</v>
      </c>
      <c r="AD98" s="226">
        <v>362009.70999999996</v>
      </c>
      <c r="AE98" s="226">
        <f t="shared" si="175"/>
        <v>246771</v>
      </c>
      <c r="AF98" s="226">
        <f t="shared" si="176"/>
        <v>362009.70999999996</v>
      </c>
      <c r="AG98" s="226">
        <f t="shared" si="176"/>
        <v>276898</v>
      </c>
      <c r="AH98" s="227">
        <f t="shared" si="177"/>
        <v>246603</v>
      </c>
      <c r="AI98" s="228" t="s">
        <v>377</v>
      </c>
      <c r="AJ98" s="229" t="s">
        <v>331</v>
      </c>
      <c r="AK98" s="229" t="s">
        <v>276</v>
      </c>
      <c r="AL98" s="229" t="s">
        <v>277</v>
      </c>
      <c r="AM98" s="230" t="s">
        <v>378</v>
      </c>
    </row>
    <row r="99" spans="2:39" ht="13.5" customHeight="1" x14ac:dyDescent="0.15">
      <c r="B99" s="424" t="s">
        <v>394</v>
      </c>
      <c r="C99" s="241" t="s">
        <v>57</v>
      </c>
      <c r="D99" s="224">
        <v>169327.3</v>
      </c>
      <c r="E99" s="540">
        <v>95762</v>
      </c>
      <c r="F99" s="226">
        <v>169327.3</v>
      </c>
      <c r="G99" s="554">
        <v>71127</v>
      </c>
      <c r="H99" s="233">
        <v>48857</v>
      </c>
      <c r="I99" s="224">
        <v>23221</v>
      </c>
      <c r="J99" s="225">
        <v>44312</v>
      </c>
      <c r="K99" s="226">
        <v>23221</v>
      </c>
      <c r="L99" s="226">
        <v>22750</v>
      </c>
      <c r="M99" s="233">
        <v>21757</v>
      </c>
      <c r="N99" s="224">
        <v>350980.6</v>
      </c>
      <c r="O99" s="225">
        <v>457031</v>
      </c>
      <c r="P99" s="226">
        <v>350980.6</v>
      </c>
      <c r="Q99" s="226">
        <v>332142</v>
      </c>
      <c r="R99" s="233">
        <v>313407</v>
      </c>
      <c r="S99" s="224">
        <v>349750</v>
      </c>
      <c r="T99" s="225">
        <v>26637</v>
      </c>
      <c r="U99" s="226">
        <v>349750</v>
      </c>
      <c r="V99" s="226">
        <v>11799</v>
      </c>
      <c r="W99" s="233">
        <v>49586</v>
      </c>
      <c r="X99" s="224">
        <f t="shared" si="171"/>
        <v>700730.6</v>
      </c>
      <c r="Y99" s="226">
        <f t="shared" si="172"/>
        <v>483668</v>
      </c>
      <c r="Z99" s="226">
        <f t="shared" si="173"/>
        <v>700730.6</v>
      </c>
      <c r="AA99" s="226">
        <f t="shared" si="173"/>
        <v>343941</v>
      </c>
      <c r="AB99" s="227">
        <f t="shared" si="174"/>
        <v>362993</v>
      </c>
      <c r="AC99" s="224">
        <f t="shared" si="178"/>
        <v>893278.89999999991</v>
      </c>
      <c r="AD99" s="226">
        <v>893278.89999999991</v>
      </c>
      <c r="AE99" s="226">
        <f t="shared" si="175"/>
        <v>623742</v>
      </c>
      <c r="AF99" s="226">
        <f t="shared" si="176"/>
        <v>893278.89999999991</v>
      </c>
      <c r="AG99" s="226">
        <f t="shared" si="176"/>
        <v>437818</v>
      </c>
      <c r="AH99" s="227">
        <f t="shared" si="177"/>
        <v>433607</v>
      </c>
      <c r="AI99" s="228" t="s">
        <v>377</v>
      </c>
      <c r="AJ99" s="229" t="s">
        <v>331</v>
      </c>
      <c r="AK99" s="229" t="s">
        <v>276</v>
      </c>
      <c r="AL99" s="229" t="s">
        <v>277</v>
      </c>
      <c r="AM99" s="230" t="s">
        <v>378</v>
      </c>
    </row>
    <row r="100" spans="2:39" ht="13.5" customHeight="1" x14ac:dyDescent="0.15">
      <c r="B100" s="424" t="s">
        <v>395</v>
      </c>
      <c r="C100" s="241" t="s">
        <v>58</v>
      </c>
      <c r="D100" s="224">
        <v>60388.59</v>
      </c>
      <c r="E100" s="540">
        <v>54902</v>
      </c>
      <c r="F100" s="226">
        <v>60388.59</v>
      </c>
      <c r="G100" s="554">
        <v>41766</v>
      </c>
      <c r="H100" s="233">
        <v>29423</v>
      </c>
      <c r="I100" s="224">
        <v>21180</v>
      </c>
      <c r="J100" s="225">
        <v>29285</v>
      </c>
      <c r="K100" s="226">
        <v>21180</v>
      </c>
      <c r="L100" s="226">
        <v>20750</v>
      </c>
      <c r="M100" s="233">
        <v>8572</v>
      </c>
      <c r="N100" s="224">
        <v>219749</v>
      </c>
      <c r="O100" s="225">
        <f>2705+141822</f>
        <v>144527</v>
      </c>
      <c r="P100" s="226">
        <v>219749</v>
      </c>
      <c r="Q100" s="226">
        <v>202018</v>
      </c>
      <c r="R100" s="233">
        <v>139641</v>
      </c>
      <c r="S100" s="224">
        <v>146200</v>
      </c>
      <c r="T100" s="225">
        <f>-2705+30511</f>
        <v>27806</v>
      </c>
      <c r="U100" s="226">
        <v>146200</v>
      </c>
      <c r="V100" s="226">
        <v>26620</v>
      </c>
      <c r="W100" s="233">
        <v>28483</v>
      </c>
      <c r="X100" s="224">
        <f t="shared" si="171"/>
        <v>365949</v>
      </c>
      <c r="Y100" s="226">
        <f t="shared" si="172"/>
        <v>172333</v>
      </c>
      <c r="Z100" s="226">
        <f t="shared" si="173"/>
        <v>365949</v>
      </c>
      <c r="AA100" s="226">
        <f t="shared" si="173"/>
        <v>228638</v>
      </c>
      <c r="AB100" s="227">
        <f t="shared" si="174"/>
        <v>168124</v>
      </c>
      <c r="AC100" s="224">
        <f t="shared" si="178"/>
        <v>447517.58999999997</v>
      </c>
      <c r="AD100" s="226">
        <v>295517.58999999997</v>
      </c>
      <c r="AE100" s="226">
        <f t="shared" si="175"/>
        <v>256520</v>
      </c>
      <c r="AF100" s="226">
        <f t="shared" si="176"/>
        <v>447517.58999999997</v>
      </c>
      <c r="AG100" s="226">
        <f t="shared" si="176"/>
        <v>291154</v>
      </c>
      <c r="AH100" s="227">
        <f t="shared" si="177"/>
        <v>206119</v>
      </c>
      <c r="AI100" s="228" t="s">
        <v>377</v>
      </c>
      <c r="AJ100" s="229" t="s">
        <v>331</v>
      </c>
      <c r="AK100" s="229" t="s">
        <v>276</v>
      </c>
      <c r="AL100" s="229" t="s">
        <v>277</v>
      </c>
      <c r="AM100" s="230" t="s">
        <v>378</v>
      </c>
    </row>
    <row r="101" spans="2:39" ht="13.5" customHeight="1" x14ac:dyDescent="0.15">
      <c r="B101" s="424" t="s">
        <v>396</v>
      </c>
      <c r="C101" s="241" t="s">
        <v>202</v>
      </c>
      <c r="D101" s="224">
        <v>21912.42</v>
      </c>
      <c r="E101" s="540">
        <v>23124</v>
      </c>
      <c r="F101" s="226">
        <v>21912.42</v>
      </c>
      <c r="G101" s="554">
        <v>29566</v>
      </c>
      <c r="H101" s="233">
        <v>27709</v>
      </c>
      <c r="I101" s="224">
        <v>7910</v>
      </c>
      <c r="J101" s="225">
        <v>7943</v>
      </c>
      <c r="K101" s="226">
        <v>7910</v>
      </c>
      <c r="L101" s="226">
        <v>6548</v>
      </c>
      <c r="M101" s="233">
        <v>6262</v>
      </c>
      <c r="N101" s="224">
        <v>68734</v>
      </c>
      <c r="O101" s="225">
        <v>59800</v>
      </c>
      <c r="P101" s="226">
        <v>68734</v>
      </c>
      <c r="Q101" s="226">
        <v>54921</v>
      </c>
      <c r="R101" s="233">
        <v>49426</v>
      </c>
      <c r="S101" s="224">
        <v>43143</v>
      </c>
      <c r="T101" s="225">
        <v>96728</v>
      </c>
      <c r="U101" s="226">
        <v>43143</v>
      </c>
      <c r="V101" s="226">
        <v>14588</v>
      </c>
      <c r="W101" s="233">
        <v>14231</v>
      </c>
      <c r="X101" s="224">
        <f t="shared" si="171"/>
        <v>111877</v>
      </c>
      <c r="Y101" s="226">
        <f t="shared" si="172"/>
        <v>156528</v>
      </c>
      <c r="Z101" s="226">
        <f t="shared" si="173"/>
        <v>111877</v>
      </c>
      <c r="AA101" s="226">
        <f t="shared" si="173"/>
        <v>69509</v>
      </c>
      <c r="AB101" s="227">
        <f t="shared" si="174"/>
        <v>63657</v>
      </c>
      <c r="AC101" s="224">
        <f t="shared" si="178"/>
        <v>141699.41999999998</v>
      </c>
      <c r="AD101" s="226">
        <v>141699.41999999998</v>
      </c>
      <c r="AE101" s="226">
        <f t="shared" si="175"/>
        <v>187595</v>
      </c>
      <c r="AF101" s="226">
        <f t="shared" si="176"/>
        <v>141699.41999999998</v>
      </c>
      <c r="AG101" s="226">
        <f t="shared" si="176"/>
        <v>105623</v>
      </c>
      <c r="AH101" s="227">
        <f t="shared" si="177"/>
        <v>97628</v>
      </c>
      <c r="AI101" s="228" t="s">
        <v>377</v>
      </c>
      <c r="AJ101" s="229" t="s">
        <v>331</v>
      </c>
      <c r="AK101" s="229" t="s">
        <v>276</v>
      </c>
      <c r="AL101" s="229" t="s">
        <v>277</v>
      </c>
      <c r="AM101" s="230" t="s">
        <v>378</v>
      </c>
    </row>
    <row r="102" spans="2:39" ht="13.5" customHeight="1" x14ac:dyDescent="0.15">
      <c r="B102" s="424" t="s">
        <v>397</v>
      </c>
      <c r="C102" s="241" t="s">
        <v>60</v>
      </c>
      <c r="D102" s="224">
        <v>49075.3</v>
      </c>
      <c r="E102" s="540">
        <v>48766</v>
      </c>
      <c r="F102" s="226">
        <v>49075.3</v>
      </c>
      <c r="G102" s="554">
        <v>26939</v>
      </c>
      <c r="H102" s="233">
        <v>21004</v>
      </c>
      <c r="I102" s="224">
        <v>10973</v>
      </c>
      <c r="J102" s="225">
        <v>4147</v>
      </c>
      <c r="K102" s="226">
        <v>10973</v>
      </c>
      <c r="L102" s="226">
        <v>6400</v>
      </c>
      <c r="M102" s="233">
        <v>0</v>
      </c>
      <c r="N102" s="224">
        <v>88124.3</v>
      </c>
      <c r="O102" s="225">
        <f>40+87330</f>
        <v>87370</v>
      </c>
      <c r="P102" s="226">
        <v>88124.3</v>
      </c>
      <c r="Q102" s="226">
        <v>90953</v>
      </c>
      <c r="R102" s="233">
        <v>92981</v>
      </c>
      <c r="S102" s="224">
        <v>101049</v>
      </c>
      <c r="T102" s="225">
        <f>-40+3646</f>
        <v>3606</v>
      </c>
      <c r="U102" s="226">
        <v>101049</v>
      </c>
      <c r="V102" s="226">
        <v>60710</v>
      </c>
      <c r="W102" s="233">
        <v>58206</v>
      </c>
      <c r="X102" s="224">
        <f t="shared" si="171"/>
        <v>189173.3</v>
      </c>
      <c r="Y102" s="226">
        <f t="shared" si="172"/>
        <v>90976</v>
      </c>
      <c r="Z102" s="226">
        <f t="shared" si="173"/>
        <v>189173.3</v>
      </c>
      <c r="AA102" s="226">
        <f t="shared" si="173"/>
        <v>151663</v>
      </c>
      <c r="AB102" s="227">
        <f t="shared" si="174"/>
        <v>151187</v>
      </c>
      <c r="AC102" s="224">
        <f t="shared" si="178"/>
        <v>249221.59999999998</v>
      </c>
      <c r="AD102" s="226">
        <v>249221.59999999998</v>
      </c>
      <c r="AE102" s="226">
        <f t="shared" si="175"/>
        <v>143889</v>
      </c>
      <c r="AF102" s="226">
        <f t="shared" si="176"/>
        <v>249221.59999999998</v>
      </c>
      <c r="AG102" s="226">
        <f t="shared" si="176"/>
        <v>185002</v>
      </c>
      <c r="AH102" s="227">
        <f t="shared" si="177"/>
        <v>172191</v>
      </c>
      <c r="AI102" s="228" t="s">
        <v>377</v>
      </c>
      <c r="AJ102" s="229" t="s">
        <v>331</v>
      </c>
      <c r="AK102" s="229" t="s">
        <v>276</v>
      </c>
      <c r="AL102" s="229" t="s">
        <v>277</v>
      </c>
      <c r="AM102" s="230" t="s">
        <v>378</v>
      </c>
    </row>
    <row r="103" spans="2:39" ht="13.5" customHeight="1" x14ac:dyDescent="0.15">
      <c r="B103" s="424" t="s">
        <v>398</v>
      </c>
      <c r="C103" s="241" t="s">
        <v>89</v>
      </c>
      <c r="D103" s="235">
        <v>0</v>
      </c>
      <c r="E103" s="540">
        <v>1090618</v>
      </c>
      <c r="F103" s="226">
        <v>0</v>
      </c>
      <c r="G103" s="554">
        <v>8065</v>
      </c>
      <c r="H103" s="233">
        <v>76619</v>
      </c>
      <c r="I103" s="248">
        <v>0</v>
      </c>
      <c r="J103" s="225">
        <v>38690</v>
      </c>
      <c r="K103" s="226">
        <v>0</v>
      </c>
      <c r="L103" s="226">
        <v>0</v>
      </c>
      <c r="M103" s="233">
        <v>0</v>
      </c>
      <c r="N103" s="235">
        <v>0</v>
      </c>
      <c r="O103" s="225">
        <v>1753928</v>
      </c>
      <c r="P103" s="226">
        <v>0</v>
      </c>
      <c r="Q103" s="226">
        <v>838127</v>
      </c>
      <c r="R103" s="233">
        <v>1011016</v>
      </c>
      <c r="S103" s="235">
        <v>0</v>
      </c>
      <c r="T103" s="225">
        <v>0</v>
      </c>
      <c r="U103" s="232">
        <v>0</v>
      </c>
      <c r="V103" s="226"/>
      <c r="W103" s="233">
        <v>0</v>
      </c>
      <c r="X103" s="224">
        <f t="shared" si="171"/>
        <v>0</v>
      </c>
      <c r="Y103" s="226">
        <f t="shared" si="172"/>
        <v>1753928</v>
      </c>
      <c r="Z103" s="226">
        <f t="shared" si="173"/>
        <v>0</v>
      </c>
      <c r="AA103" s="226">
        <f t="shared" si="173"/>
        <v>838127</v>
      </c>
      <c r="AB103" s="227">
        <f t="shared" si="174"/>
        <v>1011016</v>
      </c>
      <c r="AC103" s="224">
        <f t="shared" si="178"/>
        <v>0</v>
      </c>
      <c r="AD103" s="226">
        <v>0</v>
      </c>
      <c r="AE103" s="226">
        <f t="shared" si="175"/>
        <v>2883236</v>
      </c>
      <c r="AF103" s="226">
        <f t="shared" si="176"/>
        <v>0</v>
      </c>
      <c r="AG103" s="226">
        <f t="shared" si="176"/>
        <v>846192</v>
      </c>
      <c r="AH103" s="227">
        <f t="shared" si="177"/>
        <v>1087635</v>
      </c>
      <c r="AI103" s="228" t="s">
        <v>377</v>
      </c>
      <c r="AJ103" s="229" t="s">
        <v>331</v>
      </c>
      <c r="AK103" s="229" t="s">
        <v>291</v>
      </c>
      <c r="AL103" s="229" t="s">
        <v>277</v>
      </c>
      <c r="AM103" s="230" t="s">
        <v>378</v>
      </c>
    </row>
    <row r="104" spans="2:39" ht="13.5" customHeight="1" x14ac:dyDescent="0.15">
      <c r="B104" s="424" t="s">
        <v>183</v>
      </c>
      <c r="C104" s="241" t="s">
        <v>201</v>
      </c>
      <c r="D104" s="224">
        <v>0</v>
      </c>
      <c r="E104" s="540">
        <v>4370</v>
      </c>
      <c r="F104" s="232">
        <v>0</v>
      </c>
      <c r="G104" s="541">
        <v>10151</v>
      </c>
      <c r="H104" s="233">
        <v>20279</v>
      </c>
      <c r="I104" s="224">
        <v>0</v>
      </c>
      <c r="J104" s="225">
        <v>6415</v>
      </c>
      <c r="K104" s="232">
        <v>0</v>
      </c>
      <c r="L104" s="232">
        <v>0</v>
      </c>
      <c r="M104" s="233">
        <v>808</v>
      </c>
      <c r="N104" s="235">
        <v>0</v>
      </c>
      <c r="O104" s="225">
        <v>37752</v>
      </c>
      <c r="P104" s="232">
        <v>0</v>
      </c>
      <c r="Q104" s="232">
        <v>29309</v>
      </c>
      <c r="R104" s="233">
        <v>29044</v>
      </c>
      <c r="S104" s="235">
        <v>0</v>
      </c>
      <c r="T104" s="232">
        <v>0</v>
      </c>
      <c r="U104" s="232">
        <v>0</v>
      </c>
      <c r="V104" s="232">
        <v>100531</v>
      </c>
      <c r="W104" s="233">
        <v>107990</v>
      </c>
      <c r="X104" s="224">
        <f t="shared" si="171"/>
        <v>0</v>
      </c>
      <c r="Y104" s="226">
        <f t="shared" si="172"/>
        <v>37752</v>
      </c>
      <c r="Z104" s="226">
        <f t="shared" si="173"/>
        <v>0</v>
      </c>
      <c r="AA104" s="226">
        <f t="shared" si="173"/>
        <v>129840</v>
      </c>
      <c r="AB104" s="227">
        <f t="shared" si="174"/>
        <v>137034</v>
      </c>
      <c r="AC104" s="224">
        <f t="shared" si="178"/>
        <v>0</v>
      </c>
      <c r="AD104" s="226">
        <v>185000</v>
      </c>
      <c r="AE104" s="226">
        <f t="shared" si="175"/>
        <v>48537</v>
      </c>
      <c r="AF104" s="226">
        <f t="shared" si="176"/>
        <v>0</v>
      </c>
      <c r="AG104" s="226">
        <f t="shared" si="176"/>
        <v>139991</v>
      </c>
      <c r="AH104" s="227">
        <f t="shared" si="177"/>
        <v>158121</v>
      </c>
      <c r="AI104" s="228" t="s">
        <v>377</v>
      </c>
      <c r="AJ104" s="229" t="s">
        <v>331</v>
      </c>
      <c r="AK104" s="229" t="s">
        <v>276</v>
      </c>
      <c r="AL104" s="229" t="s">
        <v>277</v>
      </c>
      <c r="AM104" s="230" t="s">
        <v>378</v>
      </c>
    </row>
    <row r="105" spans="2:39" ht="13.5" customHeight="1" x14ac:dyDescent="0.15">
      <c r="B105" s="424" t="s">
        <v>184</v>
      </c>
      <c r="C105" s="241" t="s">
        <v>67</v>
      </c>
      <c r="D105" s="224">
        <v>0</v>
      </c>
      <c r="E105" s="540">
        <v>1359</v>
      </c>
      <c r="F105" s="232">
        <v>0</v>
      </c>
      <c r="G105" s="541">
        <v>10322</v>
      </c>
      <c r="H105" s="233">
        <v>38596</v>
      </c>
      <c r="I105" s="224">
        <v>0</v>
      </c>
      <c r="J105" s="225">
        <v>699</v>
      </c>
      <c r="K105" s="232">
        <v>0</v>
      </c>
      <c r="L105" s="232">
        <v>699</v>
      </c>
      <c r="M105" s="233">
        <v>820</v>
      </c>
      <c r="N105" s="235">
        <v>0</v>
      </c>
      <c r="O105" s="225">
        <v>8911</v>
      </c>
      <c r="P105" s="232">
        <v>0</v>
      </c>
      <c r="Q105" s="232">
        <v>35730</v>
      </c>
      <c r="R105" s="233">
        <v>23829</v>
      </c>
      <c r="S105" s="235">
        <v>0</v>
      </c>
      <c r="T105" s="232">
        <v>0</v>
      </c>
      <c r="U105" s="232">
        <v>0</v>
      </c>
      <c r="V105" s="232">
        <v>50285</v>
      </c>
      <c r="W105" s="233">
        <v>60671</v>
      </c>
      <c r="X105" s="224">
        <f t="shared" si="171"/>
        <v>0</v>
      </c>
      <c r="Y105" s="226">
        <f t="shared" si="172"/>
        <v>8911</v>
      </c>
      <c r="Z105" s="226">
        <f t="shared" si="173"/>
        <v>0</v>
      </c>
      <c r="AA105" s="226">
        <f t="shared" si="173"/>
        <v>86015</v>
      </c>
      <c r="AB105" s="227">
        <f t="shared" si="174"/>
        <v>84500</v>
      </c>
      <c r="AC105" s="224">
        <f t="shared" si="178"/>
        <v>0</v>
      </c>
      <c r="AD105" s="226">
        <v>194250</v>
      </c>
      <c r="AE105" s="226">
        <f t="shared" si="175"/>
        <v>10969</v>
      </c>
      <c r="AF105" s="226">
        <f t="shared" si="176"/>
        <v>0</v>
      </c>
      <c r="AG105" s="226">
        <f t="shared" si="176"/>
        <v>97036</v>
      </c>
      <c r="AH105" s="227">
        <f t="shared" si="177"/>
        <v>123916</v>
      </c>
      <c r="AI105" s="228" t="s">
        <v>377</v>
      </c>
      <c r="AJ105" s="229" t="s">
        <v>331</v>
      </c>
      <c r="AK105" s="229" t="s">
        <v>276</v>
      </c>
      <c r="AL105" s="229" t="s">
        <v>277</v>
      </c>
      <c r="AM105" s="230" t="s">
        <v>378</v>
      </c>
    </row>
    <row r="106" spans="2:39" ht="13.5" customHeight="1" x14ac:dyDescent="0.15">
      <c r="B106" s="424" t="s">
        <v>399</v>
      </c>
      <c r="C106" s="241" t="s">
        <v>63</v>
      </c>
      <c r="D106" s="224">
        <v>106629</v>
      </c>
      <c r="E106" s="540">
        <v>56969</v>
      </c>
      <c r="F106" s="226">
        <v>106629</v>
      </c>
      <c r="G106" s="554">
        <v>80959</v>
      </c>
      <c r="H106" s="233">
        <v>62616</v>
      </c>
      <c r="I106" s="224">
        <v>10717</v>
      </c>
      <c r="J106" s="225">
        <v>780</v>
      </c>
      <c r="K106" s="226">
        <v>10717</v>
      </c>
      <c r="L106" s="226">
        <v>0</v>
      </c>
      <c r="M106" s="233">
        <v>0</v>
      </c>
      <c r="N106" s="224">
        <v>418348</v>
      </c>
      <c r="O106" s="225">
        <v>282235</v>
      </c>
      <c r="P106" s="226">
        <v>418348</v>
      </c>
      <c r="Q106" s="226">
        <v>395222</v>
      </c>
      <c r="R106" s="233">
        <v>378204</v>
      </c>
      <c r="S106" s="224">
        <v>438825</v>
      </c>
      <c r="T106" s="225">
        <v>714108</v>
      </c>
      <c r="U106" s="226">
        <v>438825</v>
      </c>
      <c r="V106" s="226">
        <v>236995</v>
      </c>
      <c r="W106" s="233">
        <v>212823</v>
      </c>
      <c r="X106" s="224">
        <f t="shared" si="171"/>
        <v>857173</v>
      </c>
      <c r="Y106" s="226">
        <f t="shared" si="172"/>
        <v>996343</v>
      </c>
      <c r="Z106" s="226">
        <f t="shared" si="173"/>
        <v>857173</v>
      </c>
      <c r="AA106" s="226">
        <f t="shared" si="173"/>
        <v>632217</v>
      </c>
      <c r="AB106" s="227">
        <f t="shared" si="174"/>
        <v>591027</v>
      </c>
      <c r="AC106" s="224">
        <f t="shared" si="178"/>
        <v>974519</v>
      </c>
      <c r="AD106" s="226">
        <v>776519</v>
      </c>
      <c r="AE106" s="226">
        <f t="shared" si="175"/>
        <v>1054092</v>
      </c>
      <c r="AF106" s="226">
        <f t="shared" si="176"/>
        <v>974519</v>
      </c>
      <c r="AG106" s="226">
        <f t="shared" si="176"/>
        <v>713176</v>
      </c>
      <c r="AH106" s="227">
        <f t="shared" si="177"/>
        <v>653643</v>
      </c>
      <c r="AI106" s="228" t="s">
        <v>377</v>
      </c>
      <c r="AJ106" s="229" t="s">
        <v>331</v>
      </c>
      <c r="AK106" s="229" t="s">
        <v>276</v>
      </c>
      <c r="AL106" s="229" t="s">
        <v>277</v>
      </c>
      <c r="AM106" s="230" t="s">
        <v>378</v>
      </c>
    </row>
    <row r="107" spans="2:39" ht="13.5" customHeight="1" x14ac:dyDescent="0.15">
      <c r="B107" s="424" t="s">
        <v>400</v>
      </c>
      <c r="C107" s="241" t="s">
        <v>64</v>
      </c>
      <c r="D107" s="224">
        <v>71649</v>
      </c>
      <c r="E107" s="540">
        <v>53181</v>
      </c>
      <c r="F107" s="226">
        <v>71649</v>
      </c>
      <c r="G107" s="554">
        <v>45393</v>
      </c>
      <c r="H107" s="233">
        <v>33602</v>
      </c>
      <c r="I107" s="224">
        <v>30111</v>
      </c>
      <c r="J107" s="225">
        <v>0</v>
      </c>
      <c r="K107" s="226">
        <v>30111</v>
      </c>
      <c r="L107" s="226">
        <v>0</v>
      </c>
      <c r="M107" s="233">
        <v>2073</v>
      </c>
      <c r="N107" s="224">
        <v>146405</v>
      </c>
      <c r="O107" s="225">
        <v>103417</v>
      </c>
      <c r="P107" s="226">
        <v>146405</v>
      </c>
      <c r="Q107" s="226">
        <v>187645</v>
      </c>
      <c r="R107" s="233">
        <v>98845</v>
      </c>
      <c r="S107" s="224">
        <v>200700</v>
      </c>
      <c r="T107" s="225">
        <v>11266</v>
      </c>
      <c r="U107" s="226">
        <v>200700</v>
      </c>
      <c r="V107" s="226">
        <v>3153</v>
      </c>
      <c r="W107" s="233">
        <v>11825</v>
      </c>
      <c r="X107" s="224">
        <f t="shared" si="171"/>
        <v>347105</v>
      </c>
      <c r="Y107" s="226">
        <f t="shared" si="172"/>
        <v>114683</v>
      </c>
      <c r="Z107" s="226">
        <f t="shared" si="173"/>
        <v>347105</v>
      </c>
      <c r="AA107" s="226">
        <f t="shared" si="173"/>
        <v>190798</v>
      </c>
      <c r="AB107" s="227">
        <f t="shared" si="174"/>
        <v>110670</v>
      </c>
      <c r="AC107" s="224">
        <f t="shared" si="178"/>
        <v>448865</v>
      </c>
      <c r="AD107" s="226">
        <v>168865</v>
      </c>
      <c r="AE107" s="226">
        <f t="shared" si="175"/>
        <v>167864</v>
      </c>
      <c r="AF107" s="226">
        <f t="shared" si="176"/>
        <v>448865</v>
      </c>
      <c r="AG107" s="226">
        <f t="shared" si="176"/>
        <v>236191</v>
      </c>
      <c r="AH107" s="227">
        <f t="shared" si="177"/>
        <v>146345</v>
      </c>
      <c r="AI107" s="228" t="s">
        <v>377</v>
      </c>
      <c r="AJ107" s="229" t="s">
        <v>331</v>
      </c>
      <c r="AK107" s="229" t="s">
        <v>276</v>
      </c>
      <c r="AL107" s="229" t="s">
        <v>277</v>
      </c>
      <c r="AM107" s="230" t="s">
        <v>378</v>
      </c>
    </row>
    <row r="108" spans="2:39" ht="13.5" customHeight="1" x14ac:dyDescent="0.15">
      <c r="B108" s="424" t="s">
        <v>401</v>
      </c>
      <c r="C108" s="241" t="s">
        <v>65</v>
      </c>
      <c r="D108" s="224">
        <v>71190</v>
      </c>
      <c r="E108" s="540">
        <v>55492</v>
      </c>
      <c r="F108" s="226">
        <v>71190</v>
      </c>
      <c r="G108" s="554">
        <v>55510</v>
      </c>
      <c r="H108" s="233">
        <v>49487</v>
      </c>
      <c r="I108" s="224">
        <v>29601</v>
      </c>
      <c r="J108" s="225">
        <v>1735</v>
      </c>
      <c r="K108" s="226">
        <v>29601</v>
      </c>
      <c r="L108" s="226">
        <v>1686</v>
      </c>
      <c r="M108" s="233">
        <v>586</v>
      </c>
      <c r="N108" s="224">
        <v>236564</v>
      </c>
      <c r="O108" s="225">
        <v>105893</v>
      </c>
      <c r="P108" s="226">
        <v>236564</v>
      </c>
      <c r="Q108" s="226">
        <v>253208</v>
      </c>
      <c r="R108" s="233">
        <v>229398</v>
      </c>
      <c r="S108" s="224">
        <v>232723</v>
      </c>
      <c r="T108" s="225">
        <v>253434</v>
      </c>
      <c r="U108" s="226">
        <v>232723</v>
      </c>
      <c r="V108" s="226">
        <v>44122</v>
      </c>
      <c r="W108" s="233">
        <v>72115</v>
      </c>
      <c r="X108" s="224">
        <f t="shared" si="171"/>
        <v>469287</v>
      </c>
      <c r="Y108" s="226">
        <f t="shared" si="172"/>
        <v>359327</v>
      </c>
      <c r="Z108" s="226">
        <f t="shared" si="173"/>
        <v>469287</v>
      </c>
      <c r="AA108" s="226">
        <f t="shared" si="173"/>
        <v>297330</v>
      </c>
      <c r="AB108" s="227">
        <f t="shared" si="174"/>
        <v>301513</v>
      </c>
      <c r="AC108" s="224">
        <f t="shared" si="178"/>
        <v>570078</v>
      </c>
      <c r="AD108" s="226">
        <v>420078</v>
      </c>
      <c r="AE108" s="226">
        <f t="shared" si="175"/>
        <v>416554</v>
      </c>
      <c r="AF108" s="226">
        <f t="shared" si="176"/>
        <v>570078</v>
      </c>
      <c r="AG108" s="226">
        <f t="shared" si="176"/>
        <v>354526</v>
      </c>
      <c r="AH108" s="227">
        <f t="shared" si="177"/>
        <v>351586</v>
      </c>
      <c r="AI108" s="228" t="s">
        <v>377</v>
      </c>
      <c r="AJ108" s="229" t="s">
        <v>331</v>
      </c>
      <c r="AK108" s="229" t="s">
        <v>276</v>
      </c>
      <c r="AL108" s="229" t="s">
        <v>277</v>
      </c>
      <c r="AM108" s="230" t="s">
        <v>378</v>
      </c>
    </row>
    <row r="109" spans="2:39" ht="13.5" customHeight="1" x14ac:dyDescent="0.15">
      <c r="B109" s="432" t="s">
        <v>402</v>
      </c>
      <c r="C109" s="237" t="s">
        <v>403</v>
      </c>
      <c r="D109" s="215">
        <f>SUM(D110:D116)</f>
        <v>912022</v>
      </c>
      <c r="E109" s="539">
        <f t="shared" ref="E109:AH109" si="179">SUM(E110:E116)</f>
        <v>759226</v>
      </c>
      <c r="F109" s="215">
        <f t="shared" si="179"/>
        <v>912022</v>
      </c>
      <c r="G109" s="539">
        <f t="shared" ref="G109" si="180">SUM(G110:G116)</f>
        <v>723964</v>
      </c>
      <c r="H109" s="215">
        <f t="shared" si="179"/>
        <v>777810</v>
      </c>
      <c r="I109" s="215">
        <f t="shared" si="179"/>
        <v>172660</v>
      </c>
      <c r="J109" s="215">
        <f t="shared" si="179"/>
        <v>22364</v>
      </c>
      <c r="K109" s="215">
        <f t="shared" si="179"/>
        <v>172660</v>
      </c>
      <c r="L109" s="215">
        <f t="shared" ref="L109" si="181">SUM(L110:L116)</f>
        <v>1530</v>
      </c>
      <c r="M109" s="215">
        <f t="shared" si="179"/>
        <v>110651</v>
      </c>
      <c r="N109" s="215">
        <f t="shared" si="179"/>
        <v>4615099</v>
      </c>
      <c r="O109" s="215">
        <f t="shared" si="179"/>
        <v>1445233.4</v>
      </c>
      <c r="P109" s="215">
        <f t="shared" si="179"/>
        <v>4615099</v>
      </c>
      <c r="Q109" s="215">
        <f t="shared" ref="Q109" si="182">SUM(Q110:Q116)</f>
        <v>5490239</v>
      </c>
      <c r="R109" s="215">
        <f t="shared" si="179"/>
        <v>3945351</v>
      </c>
      <c r="S109" s="215">
        <f t="shared" si="179"/>
        <v>6232235</v>
      </c>
      <c r="T109" s="215">
        <f t="shared" si="179"/>
        <v>6088547.9799999995</v>
      </c>
      <c r="U109" s="215">
        <f t="shared" si="179"/>
        <v>6232235</v>
      </c>
      <c r="V109" s="215">
        <f t="shared" ref="V109" si="183">SUM(V110:V116)</f>
        <v>2458616</v>
      </c>
      <c r="W109" s="215">
        <f t="shared" si="179"/>
        <v>5281295.4000000004</v>
      </c>
      <c r="X109" s="215">
        <f t="shared" si="179"/>
        <v>10847334</v>
      </c>
      <c r="Y109" s="215">
        <f t="shared" si="179"/>
        <v>7533781.3799999999</v>
      </c>
      <c r="Z109" s="215">
        <f t="shared" si="179"/>
        <v>10847334</v>
      </c>
      <c r="AA109" s="215">
        <f t="shared" ref="AA109" si="184">SUM(AA110:AA116)</f>
        <v>7948855</v>
      </c>
      <c r="AB109" s="215">
        <f t="shared" si="179"/>
        <v>9226646.4000000004</v>
      </c>
      <c r="AC109" s="215">
        <f t="shared" si="179"/>
        <v>11932016</v>
      </c>
      <c r="AD109" s="215">
        <f t="shared" si="179"/>
        <v>11096016</v>
      </c>
      <c r="AE109" s="215">
        <f t="shared" si="179"/>
        <v>8315371.3799999999</v>
      </c>
      <c r="AF109" s="215">
        <f t="shared" si="179"/>
        <v>11932016</v>
      </c>
      <c r="AG109" s="215">
        <f t="shared" ref="AG109" si="185">SUM(AG110:AG116)</f>
        <v>8674349</v>
      </c>
      <c r="AH109" s="215">
        <f t="shared" si="179"/>
        <v>10115107.4</v>
      </c>
      <c r="AI109" s="238" t="s">
        <v>377</v>
      </c>
      <c r="AJ109" s="239" t="s">
        <v>331</v>
      </c>
      <c r="AK109" s="249">
        <f>SUM(AK110:AK114)</f>
        <v>0</v>
      </c>
      <c r="AL109" s="249">
        <f>SUM(AL110:AL114)</f>
        <v>0</v>
      </c>
      <c r="AM109" s="240" t="s">
        <v>378</v>
      </c>
    </row>
    <row r="110" spans="2:39" ht="13.5" customHeight="1" x14ac:dyDescent="0.15">
      <c r="B110" s="424" t="s">
        <v>404</v>
      </c>
      <c r="C110" s="223" t="s">
        <v>61</v>
      </c>
      <c r="D110" s="224">
        <v>135620</v>
      </c>
      <c r="E110" s="540">
        <v>87094</v>
      </c>
      <c r="F110" s="226">
        <v>135620</v>
      </c>
      <c r="G110" s="554">
        <v>206860</v>
      </c>
      <c r="H110" s="233">
        <v>181997</v>
      </c>
      <c r="I110" s="224">
        <v>34704</v>
      </c>
      <c r="J110" s="225">
        <v>0</v>
      </c>
      <c r="K110" s="226">
        <v>34704</v>
      </c>
      <c r="L110" s="226">
        <v>780</v>
      </c>
      <c r="M110" s="233">
        <v>0</v>
      </c>
      <c r="N110" s="224">
        <v>1480007</v>
      </c>
      <c r="O110" s="225">
        <v>1111004</v>
      </c>
      <c r="P110" s="226">
        <v>1480007</v>
      </c>
      <c r="Q110" s="226">
        <v>1196377</v>
      </c>
      <c r="R110" s="233">
        <v>1125197</v>
      </c>
      <c r="S110" s="224">
        <v>1424834</v>
      </c>
      <c r="T110" s="225">
        <v>2163744</v>
      </c>
      <c r="U110" s="226">
        <v>1424834</v>
      </c>
      <c r="V110" s="226">
        <v>1066579</v>
      </c>
      <c r="W110" s="233">
        <v>1154910</v>
      </c>
      <c r="X110" s="224">
        <f t="shared" ref="X110:AA116" si="186">+N110+S110</f>
        <v>2904841</v>
      </c>
      <c r="Y110" s="226">
        <f t="shared" si="186"/>
        <v>3274748</v>
      </c>
      <c r="Z110" s="226">
        <f t="shared" si="186"/>
        <v>2904841</v>
      </c>
      <c r="AA110" s="226">
        <f t="shared" si="186"/>
        <v>2262956</v>
      </c>
      <c r="AB110" s="227">
        <f t="shared" ref="AB110:AB114" si="187">+R110+W110</f>
        <v>2280107</v>
      </c>
      <c r="AC110" s="224">
        <f t="shared" ref="AC110:AC114" si="188">+D110+I110+X110</f>
        <v>3075165</v>
      </c>
      <c r="AD110" s="226">
        <v>3075165</v>
      </c>
      <c r="AE110" s="226">
        <f t="shared" ref="AE110:AG116" si="189">+E110+J110+Y110</f>
        <v>3361842</v>
      </c>
      <c r="AF110" s="226">
        <f t="shared" si="189"/>
        <v>3075165</v>
      </c>
      <c r="AG110" s="226">
        <f t="shared" si="189"/>
        <v>2470596</v>
      </c>
      <c r="AH110" s="227">
        <f t="shared" ref="AH110:AH114" si="190">+H110+M110+AB110</f>
        <v>2462104</v>
      </c>
      <c r="AI110" s="228" t="s">
        <v>377</v>
      </c>
      <c r="AJ110" s="229" t="s">
        <v>331</v>
      </c>
      <c r="AK110" s="229" t="s">
        <v>276</v>
      </c>
      <c r="AL110" s="229" t="s">
        <v>277</v>
      </c>
      <c r="AM110" s="230" t="s">
        <v>378</v>
      </c>
    </row>
    <row r="111" spans="2:39" ht="13.5" customHeight="1" x14ac:dyDescent="0.15">
      <c r="B111" s="424" t="s">
        <v>405</v>
      </c>
      <c r="C111" s="223" t="s">
        <v>62</v>
      </c>
      <c r="D111" s="224">
        <v>71879</v>
      </c>
      <c r="E111" s="540">
        <v>53313</v>
      </c>
      <c r="F111" s="226">
        <v>71879</v>
      </c>
      <c r="G111" s="554">
        <v>62254</v>
      </c>
      <c r="H111" s="233">
        <v>93599</v>
      </c>
      <c r="I111" s="224">
        <v>510</v>
      </c>
      <c r="J111" s="225">
        <v>-144</v>
      </c>
      <c r="K111" s="226">
        <v>510</v>
      </c>
      <c r="L111" s="226">
        <v>0</v>
      </c>
      <c r="M111" s="233">
        <v>0</v>
      </c>
      <c r="N111" s="224">
        <v>159440</v>
      </c>
      <c r="O111" s="225">
        <v>221658</v>
      </c>
      <c r="P111" s="226">
        <v>159440</v>
      </c>
      <c r="Q111" s="226">
        <v>163381</v>
      </c>
      <c r="R111" s="233">
        <v>352942</v>
      </c>
      <c r="S111" s="224">
        <v>412338</v>
      </c>
      <c r="T111" s="225">
        <v>340601</v>
      </c>
      <c r="U111" s="226">
        <v>412338</v>
      </c>
      <c r="V111" s="226">
        <v>396191</v>
      </c>
      <c r="W111" s="233">
        <v>605767</v>
      </c>
      <c r="X111" s="224">
        <f t="shared" si="186"/>
        <v>571778</v>
      </c>
      <c r="Y111" s="226">
        <f t="shared" si="186"/>
        <v>562259</v>
      </c>
      <c r="Z111" s="226">
        <f t="shared" si="186"/>
        <v>571778</v>
      </c>
      <c r="AA111" s="226">
        <f t="shared" si="186"/>
        <v>559572</v>
      </c>
      <c r="AB111" s="227">
        <f t="shared" si="187"/>
        <v>958709</v>
      </c>
      <c r="AC111" s="224">
        <f t="shared" si="188"/>
        <v>644167</v>
      </c>
      <c r="AD111" s="226">
        <v>518167</v>
      </c>
      <c r="AE111" s="226">
        <f t="shared" si="189"/>
        <v>615428</v>
      </c>
      <c r="AF111" s="226">
        <f t="shared" si="189"/>
        <v>644167</v>
      </c>
      <c r="AG111" s="226">
        <f t="shared" si="189"/>
        <v>621826</v>
      </c>
      <c r="AH111" s="227">
        <f t="shared" si="190"/>
        <v>1052308</v>
      </c>
      <c r="AI111" s="228" t="s">
        <v>377</v>
      </c>
      <c r="AJ111" s="229" t="s">
        <v>331</v>
      </c>
      <c r="AK111" s="229" t="s">
        <v>276</v>
      </c>
      <c r="AL111" s="229" t="s">
        <v>277</v>
      </c>
      <c r="AM111" s="230" t="s">
        <v>378</v>
      </c>
    </row>
    <row r="112" spans="2:39" ht="13.5" customHeight="1" x14ac:dyDescent="0.15">
      <c r="B112" s="424" t="s">
        <v>406</v>
      </c>
      <c r="C112" s="241" t="s">
        <v>66</v>
      </c>
      <c r="D112" s="224">
        <v>89057</v>
      </c>
      <c r="E112" s="540">
        <v>57962</v>
      </c>
      <c r="F112" s="226">
        <v>89057</v>
      </c>
      <c r="G112" s="554">
        <v>68115</v>
      </c>
      <c r="H112" s="233">
        <v>89195</v>
      </c>
      <c r="I112" s="224">
        <v>766</v>
      </c>
      <c r="J112" s="225">
        <v>-6</v>
      </c>
      <c r="K112" s="226">
        <v>766</v>
      </c>
      <c r="L112" s="226">
        <v>750</v>
      </c>
      <c r="M112" s="233">
        <v>0</v>
      </c>
      <c r="N112" s="224">
        <v>241402</v>
      </c>
      <c r="O112" s="225">
        <v>473031</v>
      </c>
      <c r="P112" s="226">
        <v>241402</v>
      </c>
      <c r="Q112" s="226">
        <v>239753</v>
      </c>
      <c r="R112" s="233">
        <v>365955</v>
      </c>
      <c r="S112" s="224">
        <v>413562</v>
      </c>
      <c r="T112" s="225">
        <v>117176</v>
      </c>
      <c r="U112" s="226">
        <v>413562</v>
      </c>
      <c r="V112" s="226">
        <v>181971</v>
      </c>
      <c r="W112" s="233">
        <v>212909</v>
      </c>
      <c r="X112" s="224">
        <f t="shared" si="186"/>
        <v>654964</v>
      </c>
      <c r="Y112" s="226">
        <f t="shared" si="186"/>
        <v>590207</v>
      </c>
      <c r="Z112" s="226">
        <f t="shared" si="186"/>
        <v>654964</v>
      </c>
      <c r="AA112" s="226">
        <f t="shared" si="186"/>
        <v>421724</v>
      </c>
      <c r="AB112" s="227">
        <f t="shared" si="187"/>
        <v>578864</v>
      </c>
      <c r="AC112" s="224">
        <f t="shared" si="188"/>
        <v>744787</v>
      </c>
      <c r="AD112" s="226">
        <v>534787</v>
      </c>
      <c r="AE112" s="226">
        <f t="shared" si="189"/>
        <v>648163</v>
      </c>
      <c r="AF112" s="226">
        <f t="shared" si="189"/>
        <v>744787</v>
      </c>
      <c r="AG112" s="226">
        <f t="shared" si="189"/>
        <v>490589</v>
      </c>
      <c r="AH112" s="227">
        <f t="shared" si="190"/>
        <v>668059</v>
      </c>
      <c r="AI112" s="228" t="s">
        <v>377</v>
      </c>
      <c r="AJ112" s="229" t="s">
        <v>331</v>
      </c>
      <c r="AK112" s="229" t="s">
        <v>276</v>
      </c>
      <c r="AL112" s="229" t="s">
        <v>277</v>
      </c>
      <c r="AM112" s="230" t="s">
        <v>378</v>
      </c>
    </row>
    <row r="113" spans="2:39" ht="13.5" customHeight="1" x14ac:dyDescent="0.15">
      <c r="B113" s="424" t="s">
        <v>407</v>
      </c>
      <c r="C113" s="223" t="s">
        <v>408</v>
      </c>
      <c r="D113" s="224">
        <v>336532</v>
      </c>
      <c r="E113" s="540">
        <v>211233</v>
      </c>
      <c r="F113" s="226">
        <v>336532</v>
      </c>
      <c r="G113" s="554">
        <v>293329</v>
      </c>
      <c r="H113" s="233">
        <v>154611</v>
      </c>
      <c r="I113" s="224">
        <v>86760</v>
      </c>
      <c r="J113" s="225">
        <v>-4030</v>
      </c>
      <c r="K113" s="226">
        <v>86760</v>
      </c>
      <c r="L113" s="226">
        <v>0</v>
      </c>
      <c r="M113" s="233">
        <v>61473</v>
      </c>
      <c r="N113" s="224">
        <v>1395388</v>
      </c>
      <c r="O113" s="225">
        <f>-4029.6+108446</f>
        <v>104416.4</v>
      </c>
      <c r="P113" s="226">
        <v>1395388</v>
      </c>
      <c r="Q113" s="226">
        <v>1040357</v>
      </c>
      <c r="R113" s="233">
        <v>1113465</v>
      </c>
      <c r="S113" s="224">
        <v>2564708</v>
      </c>
      <c r="T113" s="225">
        <f>4029.6+2409044</f>
        <v>2413073.6</v>
      </c>
      <c r="U113" s="226">
        <v>2564708</v>
      </c>
      <c r="V113" s="226">
        <v>813875</v>
      </c>
      <c r="W113" s="233">
        <v>1134893</v>
      </c>
      <c r="X113" s="224">
        <f t="shared" si="186"/>
        <v>3960096</v>
      </c>
      <c r="Y113" s="226">
        <f t="shared" si="186"/>
        <v>2517490</v>
      </c>
      <c r="Z113" s="226">
        <f t="shared" si="186"/>
        <v>3960096</v>
      </c>
      <c r="AA113" s="226">
        <f t="shared" si="186"/>
        <v>1854232</v>
      </c>
      <c r="AB113" s="227">
        <f t="shared" si="187"/>
        <v>2248358</v>
      </c>
      <c r="AC113" s="224">
        <f t="shared" si="188"/>
        <v>4383388</v>
      </c>
      <c r="AD113" s="226">
        <v>3883388</v>
      </c>
      <c r="AE113" s="226">
        <f t="shared" si="189"/>
        <v>2724693</v>
      </c>
      <c r="AF113" s="226">
        <f t="shared" si="189"/>
        <v>4383388</v>
      </c>
      <c r="AG113" s="226">
        <f t="shared" si="189"/>
        <v>2147561</v>
      </c>
      <c r="AH113" s="227">
        <f t="shared" si="190"/>
        <v>2464442</v>
      </c>
      <c r="AI113" s="228" t="s">
        <v>377</v>
      </c>
      <c r="AJ113" s="229" t="s">
        <v>331</v>
      </c>
      <c r="AK113" s="229" t="s">
        <v>276</v>
      </c>
      <c r="AL113" s="229" t="s">
        <v>277</v>
      </c>
      <c r="AM113" s="230" t="s">
        <v>378</v>
      </c>
    </row>
    <row r="114" spans="2:39" ht="13.5" customHeight="1" x14ac:dyDescent="0.15">
      <c r="B114" s="424" t="s">
        <v>409</v>
      </c>
      <c r="C114" s="223" t="s">
        <v>410</v>
      </c>
      <c r="D114" s="224">
        <v>183571</v>
      </c>
      <c r="E114" s="540">
        <v>135</v>
      </c>
      <c r="F114" s="226">
        <v>183571</v>
      </c>
      <c r="G114" s="554">
        <v>0</v>
      </c>
      <c r="H114" s="233">
        <v>0</v>
      </c>
      <c r="I114" s="224">
        <v>40828</v>
      </c>
      <c r="J114" s="225"/>
      <c r="K114" s="226">
        <v>40828</v>
      </c>
      <c r="L114" s="226">
        <v>0</v>
      </c>
      <c r="M114" s="233">
        <v>0</v>
      </c>
      <c r="N114" s="224">
        <v>1076447</v>
      </c>
      <c r="O114" s="225">
        <v>0</v>
      </c>
      <c r="P114" s="226">
        <v>1076447</v>
      </c>
      <c r="Q114" s="226">
        <v>0</v>
      </c>
      <c r="R114" s="233">
        <v>0</v>
      </c>
      <c r="S114" s="224">
        <v>778765</v>
      </c>
      <c r="T114" s="225">
        <v>0</v>
      </c>
      <c r="U114" s="226">
        <v>778765</v>
      </c>
      <c r="V114" s="226">
        <v>0</v>
      </c>
      <c r="W114" s="233">
        <v>0</v>
      </c>
      <c r="X114" s="224">
        <f t="shared" si="186"/>
        <v>1855212</v>
      </c>
      <c r="Y114" s="226">
        <f t="shared" si="186"/>
        <v>0</v>
      </c>
      <c r="Z114" s="226">
        <f t="shared" si="186"/>
        <v>1855212</v>
      </c>
      <c r="AA114" s="226">
        <f t="shared" si="186"/>
        <v>0</v>
      </c>
      <c r="AB114" s="227">
        <f t="shared" si="187"/>
        <v>0</v>
      </c>
      <c r="AC114" s="224">
        <f t="shared" si="188"/>
        <v>2079611</v>
      </c>
      <c r="AD114" s="226">
        <v>2079611</v>
      </c>
      <c r="AE114" s="226">
        <f t="shared" si="189"/>
        <v>135</v>
      </c>
      <c r="AF114" s="226">
        <f t="shared" si="189"/>
        <v>2079611</v>
      </c>
      <c r="AG114" s="226">
        <f t="shared" si="189"/>
        <v>0</v>
      </c>
      <c r="AH114" s="227">
        <f t="shared" si="190"/>
        <v>0</v>
      </c>
      <c r="AI114" s="228" t="s">
        <v>377</v>
      </c>
      <c r="AJ114" s="229" t="s">
        <v>331</v>
      </c>
      <c r="AK114" s="229" t="s">
        <v>276</v>
      </c>
      <c r="AL114" s="229" t="s">
        <v>288</v>
      </c>
      <c r="AM114" s="230" t="s">
        <v>378</v>
      </c>
    </row>
    <row r="115" spans="2:39" ht="13.5" customHeight="1" x14ac:dyDescent="0.15">
      <c r="B115" s="436" t="s">
        <v>424</v>
      </c>
      <c r="C115" s="241" t="s">
        <v>35</v>
      </c>
      <c r="D115" s="224">
        <v>95363</v>
      </c>
      <c r="E115" s="541">
        <v>349489</v>
      </c>
      <c r="F115" s="232">
        <v>95363</v>
      </c>
      <c r="G115" s="541">
        <v>93406</v>
      </c>
      <c r="H115" s="233">
        <v>164485</v>
      </c>
      <c r="I115" s="224">
        <v>9092</v>
      </c>
      <c r="J115" s="232">
        <v>26544</v>
      </c>
      <c r="K115" s="232">
        <v>9092</v>
      </c>
      <c r="L115" s="232">
        <v>0</v>
      </c>
      <c r="M115" s="233">
        <v>0</v>
      </c>
      <c r="N115" s="224">
        <v>262415</v>
      </c>
      <c r="O115" s="232">
        <v>-464876</v>
      </c>
      <c r="P115" s="232">
        <v>262415</v>
      </c>
      <c r="Q115" s="232">
        <v>2850371</v>
      </c>
      <c r="R115" s="233">
        <v>510210</v>
      </c>
      <c r="S115" s="224">
        <v>638028</v>
      </c>
      <c r="T115" s="232">
        <v>1053953.3799999999</v>
      </c>
      <c r="U115" s="232">
        <v>638028</v>
      </c>
      <c r="V115" s="232">
        <v>0</v>
      </c>
      <c r="W115" s="233">
        <v>1670514</v>
      </c>
      <c r="X115" s="224">
        <f t="shared" si="186"/>
        <v>900443</v>
      </c>
      <c r="Y115" s="226">
        <f t="shared" si="186"/>
        <v>589077.37999999989</v>
      </c>
      <c r="Z115" s="226">
        <f t="shared" si="186"/>
        <v>900443</v>
      </c>
      <c r="AA115" s="226">
        <f t="shared" si="186"/>
        <v>2850371</v>
      </c>
      <c r="AB115" s="227">
        <f t="shared" ref="AB115" si="191">+R115+W115</f>
        <v>2180724</v>
      </c>
      <c r="AC115" s="224">
        <f t="shared" ref="AC115" si="192">+D115+I115+X115</f>
        <v>1004898</v>
      </c>
      <c r="AD115" s="226">
        <v>1004898</v>
      </c>
      <c r="AE115" s="226">
        <f t="shared" si="189"/>
        <v>965110.37999999989</v>
      </c>
      <c r="AF115" s="226">
        <f t="shared" si="189"/>
        <v>1004898</v>
      </c>
      <c r="AG115" s="226">
        <f t="shared" si="189"/>
        <v>2943777</v>
      </c>
      <c r="AH115" s="227">
        <f t="shared" ref="AH115" si="193">+H115+M115+AB115</f>
        <v>2345209</v>
      </c>
      <c r="AI115" s="252" t="s">
        <v>373</v>
      </c>
      <c r="AJ115" s="253" t="s">
        <v>229</v>
      </c>
      <c r="AK115" s="253" t="s">
        <v>276</v>
      </c>
      <c r="AL115" s="253" t="s">
        <v>277</v>
      </c>
      <c r="AM115" s="254" t="s">
        <v>416</v>
      </c>
    </row>
    <row r="116" spans="2:39" ht="13.5" customHeight="1" x14ac:dyDescent="0.15">
      <c r="B116" s="436" t="s">
        <v>441</v>
      </c>
      <c r="C116" s="241" t="s">
        <v>442</v>
      </c>
      <c r="D116" s="224">
        <v>0</v>
      </c>
      <c r="E116" s="541">
        <v>0</v>
      </c>
      <c r="F116" s="232">
        <v>0</v>
      </c>
      <c r="G116" s="541">
        <v>0</v>
      </c>
      <c r="H116" s="233">
        <v>93923</v>
      </c>
      <c r="I116" s="224">
        <v>0</v>
      </c>
      <c r="J116" s="232">
        <v>0</v>
      </c>
      <c r="K116" s="232">
        <v>0</v>
      </c>
      <c r="L116" s="232">
        <v>0</v>
      </c>
      <c r="M116" s="233">
        <v>49178</v>
      </c>
      <c r="N116" s="224">
        <v>0</v>
      </c>
      <c r="O116" s="232">
        <v>0</v>
      </c>
      <c r="P116" s="232">
        <v>0</v>
      </c>
      <c r="Q116" s="232">
        <v>0</v>
      </c>
      <c r="R116" s="233">
        <v>477582</v>
      </c>
      <c r="S116" s="224">
        <v>0</v>
      </c>
      <c r="T116" s="232">
        <v>0</v>
      </c>
      <c r="U116" s="232">
        <v>0</v>
      </c>
      <c r="V116" s="232">
        <v>0</v>
      </c>
      <c r="W116" s="233">
        <v>502302.4</v>
      </c>
      <c r="X116" s="224">
        <f t="shared" si="186"/>
        <v>0</v>
      </c>
      <c r="Y116" s="226">
        <f t="shared" si="186"/>
        <v>0</v>
      </c>
      <c r="Z116" s="226">
        <f t="shared" si="186"/>
        <v>0</v>
      </c>
      <c r="AA116" s="226">
        <f t="shared" si="186"/>
        <v>0</v>
      </c>
      <c r="AB116" s="227">
        <f t="shared" ref="AB116" si="194">+R116+W116</f>
        <v>979884.4</v>
      </c>
      <c r="AC116" s="224">
        <f t="shared" ref="AC116" si="195">+D116+I116+X116</f>
        <v>0</v>
      </c>
      <c r="AD116" s="226">
        <v>0</v>
      </c>
      <c r="AE116" s="226">
        <f t="shared" si="189"/>
        <v>0</v>
      </c>
      <c r="AF116" s="226">
        <f t="shared" si="189"/>
        <v>0</v>
      </c>
      <c r="AG116" s="226">
        <f t="shared" si="189"/>
        <v>0</v>
      </c>
      <c r="AH116" s="227">
        <f t="shared" ref="AH116" si="196">+H116+M116+AB116</f>
        <v>1122985.3999999999</v>
      </c>
      <c r="AI116" s="252" t="s">
        <v>373</v>
      </c>
      <c r="AJ116" s="253" t="s">
        <v>331</v>
      </c>
      <c r="AK116" s="253" t="s">
        <v>276</v>
      </c>
      <c r="AL116" s="253" t="s">
        <v>294</v>
      </c>
      <c r="AM116" s="254" t="s">
        <v>440</v>
      </c>
    </row>
    <row r="117" spans="2:39" ht="13.5" customHeight="1" x14ac:dyDescent="0.15">
      <c r="B117" s="255"/>
      <c r="C117" s="256"/>
      <c r="D117" s="231"/>
      <c r="E117" s="541"/>
      <c r="F117" s="232"/>
      <c r="G117" s="541"/>
      <c r="H117" s="233"/>
      <c r="I117" s="231"/>
      <c r="J117" s="232"/>
      <c r="K117" s="232"/>
      <c r="L117" s="232"/>
      <c r="M117" s="233"/>
      <c r="N117" s="231"/>
      <c r="O117" s="232"/>
      <c r="P117" s="232"/>
      <c r="Q117" s="232"/>
      <c r="R117" s="233"/>
      <c r="S117" s="231"/>
      <c r="T117" s="232"/>
      <c r="U117" s="232"/>
      <c r="V117" s="232"/>
      <c r="W117" s="233"/>
      <c r="X117" s="231"/>
      <c r="Y117" s="232"/>
      <c r="Z117" s="232"/>
      <c r="AA117" s="232"/>
      <c r="AB117" s="233"/>
      <c r="AC117" s="231"/>
      <c r="AD117" s="232"/>
      <c r="AE117" s="232"/>
      <c r="AF117" s="232"/>
      <c r="AG117" s="232"/>
      <c r="AH117" s="233"/>
      <c r="AI117" s="252"/>
      <c r="AJ117" s="253"/>
      <c r="AK117" s="257"/>
      <c r="AL117" s="257"/>
      <c r="AM117" s="254"/>
    </row>
    <row r="118" spans="2:39" ht="13.5" customHeight="1" x14ac:dyDescent="0.15">
      <c r="B118" s="258"/>
      <c r="C118" s="259" t="s">
        <v>443</v>
      </c>
      <c r="D118" s="260">
        <f>SUM(D109+D81+D77+D73+D67+D62+D57+D48+D43+D33+D23+D21+D19+D15+D7)</f>
        <v>27371836.730000004</v>
      </c>
      <c r="E118" s="544">
        <f>SUM(E109+E81+E77+E73+E67+E62+E57+E48+E43+E33+E23+E21+E19+E15+E7)</f>
        <v>17168851</v>
      </c>
      <c r="F118" s="260">
        <f t="shared" ref="F118:AH118" si="197">SUM(F109+F81+F77+F73+F67+F62+F57+F48+F43+F33+F23+F21+F19+F15+F7)</f>
        <v>27371836.730000004</v>
      </c>
      <c r="G118" s="544">
        <f t="shared" ref="G118" si="198">SUM(G109+G81+G77+G73+G67+G62+G57+G48+G43+G33+G23+G21+G19+G15+G7)</f>
        <v>15469236</v>
      </c>
      <c r="H118" s="260">
        <f t="shared" si="197"/>
        <v>15684608</v>
      </c>
      <c r="I118" s="260">
        <f t="shared" si="197"/>
        <v>7948818.3300000001</v>
      </c>
      <c r="J118" s="260">
        <f t="shared" si="197"/>
        <v>6669512</v>
      </c>
      <c r="K118" s="260">
        <f t="shared" si="197"/>
        <v>7948818.3300000001</v>
      </c>
      <c r="L118" s="260">
        <f t="shared" ref="L118" si="199">SUM(L109+L81+L77+L73+L67+L62+L57+L48+L43+L33+L23+L21+L19+L15+L7)</f>
        <v>4034691</v>
      </c>
      <c r="M118" s="260">
        <f t="shared" si="197"/>
        <v>3505612</v>
      </c>
      <c r="N118" s="260">
        <f t="shared" si="197"/>
        <v>119897281.09999999</v>
      </c>
      <c r="O118" s="260">
        <f t="shared" si="197"/>
        <v>109029755.40000001</v>
      </c>
      <c r="P118" s="260">
        <f t="shared" si="197"/>
        <v>119897281.09999999</v>
      </c>
      <c r="Q118" s="260">
        <f t="shared" ref="Q118" si="200">SUM(Q109+Q81+Q77+Q73+Q67+Q62+Q57+Q48+Q43+Q33+Q23+Q21+Q19+Q15+Q7)</f>
        <v>103980733</v>
      </c>
      <c r="R118" s="260">
        <f t="shared" si="197"/>
        <v>86636392</v>
      </c>
      <c r="S118" s="260">
        <f t="shared" si="197"/>
        <v>147455064.22</v>
      </c>
      <c r="T118" s="260">
        <f t="shared" si="197"/>
        <v>155924682.24000001</v>
      </c>
      <c r="U118" s="260">
        <f t="shared" si="197"/>
        <v>147455064.22</v>
      </c>
      <c r="V118" s="260">
        <f t="shared" ref="V118" si="201">SUM(V109+V81+V77+V73+V67+V62+V57+V48+V43+V33+V23+V21+V19+V15+V7)</f>
        <v>146435883</v>
      </c>
      <c r="W118" s="260">
        <f t="shared" si="197"/>
        <v>144537662.59999999</v>
      </c>
      <c r="X118" s="260">
        <f t="shared" si="197"/>
        <v>267352345.31999999</v>
      </c>
      <c r="Y118" s="260">
        <f t="shared" si="197"/>
        <v>264954437.63999999</v>
      </c>
      <c r="Z118" s="260">
        <f t="shared" si="197"/>
        <v>267352345.31999999</v>
      </c>
      <c r="AA118" s="260">
        <f t="shared" ref="AA118" si="202">SUM(AA109+AA81+AA77+AA73+AA67+AA62+AA57+AA48+AA43+AA33+AA23+AA21+AA19+AA15+AA7)</f>
        <v>250416616</v>
      </c>
      <c r="AB118" s="260">
        <f t="shared" si="197"/>
        <v>231174054.59999999</v>
      </c>
      <c r="AC118" s="260">
        <f t="shared" si="197"/>
        <v>302673000.38</v>
      </c>
      <c r="AD118" s="260">
        <f t="shared" si="197"/>
        <v>305854571.38</v>
      </c>
      <c r="AE118" s="260">
        <f t="shared" si="197"/>
        <v>288792800.63999999</v>
      </c>
      <c r="AF118" s="260">
        <f t="shared" si="197"/>
        <v>302673000.38</v>
      </c>
      <c r="AG118" s="260">
        <f t="shared" ref="AG118" si="203">SUM(AG109+AG81+AG77+AG73+AG67+AG62+AG57+AG48+AG43+AG33+AG23+AG21+AG19+AG15+AG7)</f>
        <v>269920543</v>
      </c>
      <c r="AH118" s="260">
        <f t="shared" si="197"/>
        <v>250364274.60000002</v>
      </c>
      <c r="AI118" s="262"/>
      <c r="AJ118" s="259"/>
      <c r="AK118" s="263"/>
      <c r="AL118" s="263"/>
      <c r="AM118" s="264"/>
    </row>
    <row r="119" spans="2:39" ht="13.5" customHeight="1" x14ac:dyDescent="0.15">
      <c r="B119" s="255"/>
      <c r="C119" s="256"/>
      <c r="D119" s="231"/>
      <c r="E119" s="541"/>
      <c r="F119" s="232"/>
      <c r="G119" s="541"/>
      <c r="H119" s="233"/>
      <c r="I119" s="231"/>
      <c r="J119" s="232"/>
      <c r="K119" s="232"/>
      <c r="L119" s="232"/>
      <c r="M119" s="233"/>
      <c r="N119" s="231"/>
      <c r="O119" s="232"/>
      <c r="P119" s="232"/>
      <c r="Q119" s="232"/>
      <c r="R119" s="233"/>
      <c r="S119" s="231"/>
      <c r="T119" s="232"/>
      <c r="U119" s="232"/>
      <c r="V119" s="232"/>
      <c r="W119" s="233"/>
      <c r="X119" s="231"/>
      <c r="Y119" s="232"/>
      <c r="Z119" s="232"/>
      <c r="AA119" s="232"/>
      <c r="AB119" s="233"/>
      <c r="AC119" s="231"/>
      <c r="AD119" s="232"/>
      <c r="AE119" s="232"/>
      <c r="AF119" s="232"/>
      <c r="AG119" s="232"/>
      <c r="AH119" s="233"/>
      <c r="AI119" s="252"/>
      <c r="AJ119" s="253"/>
      <c r="AK119" s="257"/>
      <c r="AL119" s="257"/>
      <c r="AM119" s="254"/>
    </row>
    <row r="120" spans="2:39" ht="13.5" customHeight="1" x14ac:dyDescent="0.15">
      <c r="B120" s="251"/>
      <c r="C120" s="237" t="s">
        <v>444</v>
      </c>
      <c r="D120" s="215">
        <f>SUM(D121:D122)</f>
        <v>0</v>
      </c>
      <c r="E120" s="545">
        <f t="shared" ref="E120:AH120" si="204">SUM(E121:E122)</f>
        <v>0</v>
      </c>
      <c r="F120" s="216">
        <f t="shared" si="204"/>
        <v>0</v>
      </c>
      <c r="G120" s="545">
        <f t="shared" si="204"/>
        <v>0</v>
      </c>
      <c r="H120" s="217">
        <f t="shared" si="204"/>
        <v>0</v>
      </c>
      <c r="I120" s="215">
        <f t="shared" si="204"/>
        <v>0</v>
      </c>
      <c r="J120" s="216">
        <f t="shared" si="204"/>
        <v>0</v>
      </c>
      <c r="K120" s="216">
        <f t="shared" si="204"/>
        <v>0</v>
      </c>
      <c r="L120" s="216">
        <f t="shared" si="204"/>
        <v>0</v>
      </c>
      <c r="M120" s="217">
        <f t="shared" si="204"/>
        <v>0</v>
      </c>
      <c r="N120" s="215">
        <f t="shared" si="204"/>
        <v>0</v>
      </c>
      <c r="O120" s="216">
        <f t="shared" si="204"/>
        <v>0</v>
      </c>
      <c r="P120" s="216">
        <f t="shared" si="204"/>
        <v>0</v>
      </c>
      <c r="Q120" s="216">
        <f t="shared" si="204"/>
        <v>0</v>
      </c>
      <c r="R120" s="217">
        <f t="shared" si="204"/>
        <v>0</v>
      </c>
      <c r="S120" s="215">
        <f t="shared" si="204"/>
        <v>0</v>
      </c>
      <c r="T120" s="216">
        <f t="shared" si="204"/>
        <v>0</v>
      </c>
      <c r="U120" s="216">
        <f t="shared" si="204"/>
        <v>0</v>
      </c>
      <c r="V120" s="216">
        <f t="shared" si="204"/>
        <v>0</v>
      </c>
      <c r="W120" s="217">
        <f t="shared" si="204"/>
        <v>0</v>
      </c>
      <c r="X120" s="215">
        <f t="shared" si="204"/>
        <v>0</v>
      </c>
      <c r="Y120" s="216">
        <f t="shared" si="204"/>
        <v>0</v>
      </c>
      <c r="Z120" s="216">
        <f t="shared" si="204"/>
        <v>0</v>
      </c>
      <c r="AA120" s="216">
        <f t="shared" si="204"/>
        <v>0</v>
      </c>
      <c r="AB120" s="217">
        <f t="shared" si="204"/>
        <v>0</v>
      </c>
      <c r="AC120" s="215">
        <f t="shared" si="204"/>
        <v>13333000</v>
      </c>
      <c r="AD120" s="216">
        <f t="shared" si="204"/>
        <v>13333000</v>
      </c>
      <c r="AE120" s="216">
        <f t="shared" si="204"/>
        <v>8175875</v>
      </c>
      <c r="AF120" s="216">
        <f t="shared" si="204"/>
        <v>13333000</v>
      </c>
      <c r="AG120" s="216">
        <f t="shared" si="204"/>
        <v>13333000</v>
      </c>
      <c r="AH120" s="217">
        <f t="shared" si="204"/>
        <v>11151095</v>
      </c>
      <c r="AI120" s="265" t="s">
        <v>225</v>
      </c>
      <c r="AJ120" s="244"/>
      <c r="AK120" s="266" t="s">
        <v>225</v>
      </c>
      <c r="AL120" s="266" t="s">
        <v>277</v>
      </c>
      <c r="AM120" s="267" t="s">
        <v>225</v>
      </c>
    </row>
    <row r="121" spans="2:39" s="274" customFormat="1" ht="13.5" customHeight="1" x14ac:dyDescent="0.15">
      <c r="B121" s="251" t="s">
        <v>445</v>
      </c>
      <c r="C121" s="241" t="s">
        <v>446</v>
      </c>
      <c r="D121" s="268">
        <v>0</v>
      </c>
      <c r="E121" s="546">
        <v>0</v>
      </c>
      <c r="F121" s="269">
        <v>0</v>
      </c>
      <c r="G121" s="546">
        <v>0</v>
      </c>
      <c r="H121" s="270">
        <v>0</v>
      </c>
      <c r="I121" s="268">
        <v>0</v>
      </c>
      <c r="J121" s="269">
        <v>0</v>
      </c>
      <c r="K121" s="269">
        <v>0</v>
      </c>
      <c r="L121" s="269">
        <v>0</v>
      </c>
      <c r="M121" s="270">
        <v>0</v>
      </c>
      <c r="N121" s="268">
        <v>0</v>
      </c>
      <c r="O121" s="269">
        <v>0</v>
      </c>
      <c r="P121" s="269">
        <v>0</v>
      </c>
      <c r="Q121" s="269">
        <v>0</v>
      </c>
      <c r="R121" s="270">
        <v>0</v>
      </c>
      <c r="S121" s="268">
        <v>0</v>
      </c>
      <c r="T121" s="269">
        <v>0</v>
      </c>
      <c r="U121" s="269">
        <v>0</v>
      </c>
      <c r="V121" s="269">
        <v>0</v>
      </c>
      <c r="W121" s="270">
        <v>0</v>
      </c>
      <c r="X121" s="231">
        <v>0</v>
      </c>
      <c r="Y121" s="232">
        <v>0</v>
      </c>
      <c r="Z121" s="232">
        <v>0</v>
      </c>
      <c r="AA121" s="232">
        <v>0</v>
      </c>
      <c r="AB121" s="271">
        <v>0</v>
      </c>
      <c r="AC121" s="224">
        <f>13333000*0.725</f>
        <v>9666425</v>
      </c>
      <c r="AD121" s="232">
        <f>13333000*0.725</f>
        <v>9666425</v>
      </c>
      <c r="AE121" s="232">
        <v>5938422</v>
      </c>
      <c r="AF121" s="232">
        <f>13333000*0.725</f>
        <v>9666425</v>
      </c>
      <c r="AG121" s="232">
        <f>13333000*0.725</f>
        <v>9666425</v>
      </c>
      <c r="AH121" s="232">
        <f>11151095*0.6</f>
        <v>6690657</v>
      </c>
      <c r="AI121" s="272"/>
      <c r="AJ121" s="245"/>
      <c r="AK121" s="273"/>
      <c r="AL121" s="273"/>
      <c r="AM121" s="254"/>
    </row>
    <row r="122" spans="2:39" s="274" customFormat="1" ht="13.5" customHeight="1" x14ac:dyDescent="0.15">
      <c r="B122" s="437" t="s">
        <v>447</v>
      </c>
      <c r="C122" s="241" t="s">
        <v>448</v>
      </c>
      <c r="D122" s="268">
        <v>0</v>
      </c>
      <c r="E122" s="546">
        <v>0</v>
      </c>
      <c r="F122" s="269">
        <v>0</v>
      </c>
      <c r="G122" s="546">
        <v>0</v>
      </c>
      <c r="H122" s="270">
        <v>0</v>
      </c>
      <c r="I122" s="268">
        <v>0</v>
      </c>
      <c r="J122" s="269">
        <v>0</v>
      </c>
      <c r="K122" s="269">
        <v>0</v>
      </c>
      <c r="L122" s="269">
        <v>0</v>
      </c>
      <c r="M122" s="270">
        <v>0</v>
      </c>
      <c r="N122" s="268">
        <v>0</v>
      </c>
      <c r="O122" s="269">
        <v>0</v>
      </c>
      <c r="P122" s="269">
        <v>0</v>
      </c>
      <c r="Q122" s="269">
        <v>0</v>
      </c>
      <c r="R122" s="270">
        <v>0</v>
      </c>
      <c r="S122" s="268">
        <v>0</v>
      </c>
      <c r="T122" s="269">
        <v>0</v>
      </c>
      <c r="U122" s="269">
        <v>0</v>
      </c>
      <c r="V122" s="269">
        <v>0</v>
      </c>
      <c r="W122" s="270">
        <v>0</v>
      </c>
      <c r="X122" s="231">
        <v>0</v>
      </c>
      <c r="Y122" s="232">
        <v>0</v>
      </c>
      <c r="Z122" s="232">
        <v>0</v>
      </c>
      <c r="AA122" s="232">
        <v>0</v>
      </c>
      <c r="AB122" s="271">
        <v>0</v>
      </c>
      <c r="AC122" s="224">
        <f>13333000*0.275</f>
        <v>3666575.0000000005</v>
      </c>
      <c r="AD122" s="232">
        <f>13333000*0.275</f>
        <v>3666575.0000000005</v>
      </c>
      <c r="AE122" s="232">
        <v>2237453</v>
      </c>
      <c r="AF122" s="232">
        <f>13333000*0.275</f>
        <v>3666575.0000000005</v>
      </c>
      <c r="AG122" s="232">
        <f>13333000*0.275</f>
        <v>3666575.0000000005</v>
      </c>
      <c r="AH122" s="232">
        <f>11151095*0.4</f>
        <v>4460438</v>
      </c>
      <c r="AI122" s="272"/>
      <c r="AJ122" s="245"/>
      <c r="AK122" s="273"/>
      <c r="AL122" s="273"/>
      <c r="AM122" s="254"/>
    </row>
    <row r="123" spans="2:39" ht="13.5" customHeight="1" x14ac:dyDescent="0.15">
      <c r="B123" s="258"/>
      <c r="C123" s="259" t="s">
        <v>449</v>
      </c>
      <c r="D123" s="260">
        <f t="shared" ref="D123:AH123" si="205">+D118+D120</f>
        <v>27371836.730000004</v>
      </c>
      <c r="E123" s="547">
        <f t="shared" si="205"/>
        <v>17168851</v>
      </c>
      <c r="F123" s="261">
        <f t="shared" si="205"/>
        <v>27371836.730000004</v>
      </c>
      <c r="G123" s="547">
        <f t="shared" si="205"/>
        <v>15469236</v>
      </c>
      <c r="H123" s="264">
        <f t="shared" si="205"/>
        <v>15684608</v>
      </c>
      <c r="I123" s="260">
        <f t="shared" si="205"/>
        <v>7948818.3300000001</v>
      </c>
      <c r="J123" s="261">
        <f t="shared" si="205"/>
        <v>6669512</v>
      </c>
      <c r="K123" s="261">
        <f t="shared" si="205"/>
        <v>7948818.3300000001</v>
      </c>
      <c r="L123" s="261">
        <f t="shared" si="205"/>
        <v>4034691</v>
      </c>
      <c r="M123" s="264">
        <f t="shared" si="205"/>
        <v>3505612</v>
      </c>
      <c r="N123" s="260">
        <f t="shared" si="205"/>
        <v>119897281.09999999</v>
      </c>
      <c r="O123" s="261">
        <f t="shared" si="205"/>
        <v>109029755.40000001</v>
      </c>
      <c r="P123" s="261">
        <f t="shared" si="205"/>
        <v>119897281.09999999</v>
      </c>
      <c r="Q123" s="261">
        <f t="shared" si="205"/>
        <v>103980733</v>
      </c>
      <c r="R123" s="264">
        <f t="shared" si="205"/>
        <v>86636392</v>
      </c>
      <c r="S123" s="260">
        <f t="shared" si="205"/>
        <v>147455064.22</v>
      </c>
      <c r="T123" s="261">
        <f t="shared" si="205"/>
        <v>155924682.24000001</v>
      </c>
      <c r="U123" s="261">
        <f t="shared" si="205"/>
        <v>147455064.22</v>
      </c>
      <c r="V123" s="261">
        <f t="shared" si="205"/>
        <v>146435883</v>
      </c>
      <c r="W123" s="264">
        <f t="shared" si="205"/>
        <v>144537662.59999999</v>
      </c>
      <c r="X123" s="260">
        <f t="shared" si="205"/>
        <v>267352345.31999999</v>
      </c>
      <c r="Y123" s="261">
        <f t="shared" si="205"/>
        <v>264954437.63999999</v>
      </c>
      <c r="Z123" s="261">
        <f t="shared" si="205"/>
        <v>267352345.31999999</v>
      </c>
      <c r="AA123" s="261">
        <f t="shared" si="205"/>
        <v>250416616</v>
      </c>
      <c r="AB123" s="264">
        <f t="shared" si="205"/>
        <v>231174054.59999999</v>
      </c>
      <c r="AC123" s="260">
        <f t="shared" si="205"/>
        <v>316006000.38</v>
      </c>
      <c r="AD123" s="261">
        <f t="shared" si="205"/>
        <v>319187571.38</v>
      </c>
      <c r="AE123" s="261">
        <f t="shared" si="205"/>
        <v>296968675.63999999</v>
      </c>
      <c r="AF123" s="261">
        <f t="shared" si="205"/>
        <v>316006000.38</v>
      </c>
      <c r="AG123" s="261">
        <f t="shared" si="205"/>
        <v>283253543</v>
      </c>
      <c r="AH123" s="264">
        <f t="shared" si="205"/>
        <v>261515369.60000002</v>
      </c>
      <c r="AI123" s="262"/>
      <c r="AJ123" s="259"/>
      <c r="AK123" s="263"/>
      <c r="AL123" s="263"/>
      <c r="AM123" s="264"/>
    </row>
    <row r="124" spans="2:39" ht="13.5" customHeight="1" x14ac:dyDescent="0.15">
      <c r="B124" s="275"/>
      <c r="C124" s="276"/>
      <c r="D124" s="277"/>
      <c r="E124" s="548"/>
      <c r="F124" s="278"/>
      <c r="G124" s="548"/>
      <c r="H124" s="279"/>
      <c r="I124" s="277"/>
      <c r="J124" s="278"/>
      <c r="K124" s="280"/>
      <c r="L124" s="280"/>
      <c r="M124" s="279"/>
      <c r="N124" s="277"/>
      <c r="O124" s="280"/>
      <c r="P124" s="280"/>
      <c r="Q124" s="280"/>
      <c r="R124" s="279"/>
      <c r="S124" s="277"/>
      <c r="T124" s="280"/>
      <c r="U124" s="280"/>
      <c r="V124" s="280"/>
      <c r="W124" s="279"/>
      <c r="X124" s="277"/>
      <c r="Y124" s="278"/>
      <c r="Z124" s="278"/>
      <c r="AA124" s="280"/>
      <c r="AB124" s="279"/>
      <c r="AC124" s="277"/>
      <c r="AD124" s="278"/>
      <c r="AE124" s="278"/>
      <c r="AF124" s="278"/>
      <c r="AG124" s="280"/>
      <c r="AH124" s="281"/>
      <c r="AI124" s="228"/>
      <c r="AJ124" s="229"/>
      <c r="AK124" s="257"/>
      <c r="AL124" s="257"/>
      <c r="AM124" s="230"/>
    </row>
    <row r="125" spans="2:39" ht="13.5" customHeight="1" x14ac:dyDescent="0.15">
      <c r="B125" s="251" t="s">
        <v>450</v>
      </c>
      <c r="C125" s="237" t="s">
        <v>195</v>
      </c>
      <c r="D125" s="215">
        <v>1759354</v>
      </c>
      <c r="E125" s="545">
        <v>3609089</v>
      </c>
      <c r="F125" s="216">
        <v>1759354</v>
      </c>
      <c r="G125" s="545">
        <v>1759354</v>
      </c>
      <c r="H125" s="217">
        <v>1759354</v>
      </c>
      <c r="I125" s="215">
        <v>2456028</v>
      </c>
      <c r="J125" s="216">
        <v>2899118</v>
      </c>
      <c r="K125" s="216">
        <v>2456028</v>
      </c>
      <c r="L125" s="216">
        <v>2456028</v>
      </c>
      <c r="M125" s="217">
        <v>2456028</v>
      </c>
      <c r="N125" s="215">
        <v>9129143</v>
      </c>
      <c r="O125" s="216">
        <v>9038908</v>
      </c>
      <c r="P125" s="216">
        <v>9129143</v>
      </c>
      <c r="Q125" s="216">
        <v>9129143</v>
      </c>
      <c r="R125" s="217">
        <f>-52000+9129143</f>
        <v>9077143</v>
      </c>
      <c r="S125" s="215">
        <v>3969475</v>
      </c>
      <c r="T125" s="216">
        <v>0</v>
      </c>
      <c r="U125" s="216">
        <v>3969475</v>
      </c>
      <c r="V125" s="216">
        <v>3969475</v>
      </c>
      <c r="W125" s="217">
        <v>3969475</v>
      </c>
      <c r="X125" s="215">
        <f>+N125+S125</f>
        <v>13098618</v>
      </c>
      <c r="Y125" s="216">
        <f>+O125+T125</f>
        <v>9038908</v>
      </c>
      <c r="Z125" s="216">
        <f>+P125+U125</f>
        <v>13098618</v>
      </c>
      <c r="AA125" s="216">
        <f>+Q125+V125</f>
        <v>13098618</v>
      </c>
      <c r="AB125" s="217">
        <f t="shared" ref="AB125" si="206">+R125+W125</f>
        <v>13046618</v>
      </c>
      <c r="AC125" s="215">
        <f t="shared" ref="AC125" si="207">+D125+I125+X125</f>
        <v>17314000</v>
      </c>
      <c r="AD125" s="216">
        <v>17314000</v>
      </c>
      <c r="AE125" s="216">
        <f>+E125+J125+Y125</f>
        <v>15547115</v>
      </c>
      <c r="AF125" s="216">
        <f>+F125+K125+Z125</f>
        <v>17314000</v>
      </c>
      <c r="AG125" s="216">
        <f>+G125+L125+AA125</f>
        <v>17314000</v>
      </c>
      <c r="AH125" s="217">
        <f>+H125+M125+AB125</f>
        <v>17262000</v>
      </c>
      <c r="AI125" s="265" t="s">
        <v>451</v>
      </c>
      <c r="AJ125" s="244" t="s">
        <v>331</v>
      </c>
      <c r="AK125" s="239" t="s">
        <v>226</v>
      </c>
      <c r="AL125" s="239" t="s">
        <v>277</v>
      </c>
      <c r="AM125" s="267" t="s">
        <v>451</v>
      </c>
    </row>
    <row r="126" spans="2:39" ht="13.5" customHeight="1" x14ac:dyDescent="0.15">
      <c r="B126" s="248"/>
      <c r="C126" s="282"/>
      <c r="D126" s="277"/>
      <c r="E126" s="548"/>
      <c r="F126" s="278"/>
      <c r="G126" s="548"/>
      <c r="H126" s="279"/>
      <c r="I126" s="277"/>
      <c r="J126" s="278"/>
      <c r="K126" s="280"/>
      <c r="L126" s="280"/>
      <c r="M126" s="279"/>
      <c r="N126" s="277"/>
      <c r="O126" s="280"/>
      <c r="P126" s="280"/>
      <c r="Q126" s="280"/>
      <c r="R126" s="279"/>
      <c r="S126" s="277"/>
      <c r="T126" s="280"/>
      <c r="U126" s="280"/>
      <c r="V126" s="280"/>
      <c r="W126" s="279"/>
      <c r="X126" s="277"/>
      <c r="Y126" s="278"/>
      <c r="Z126" s="278"/>
      <c r="AA126" s="280"/>
      <c r="AB126" s="279"/>
      <c r="AC126" s="277"/>
      <c r="AD126" s="278"/>
      <c r="AE126" s="278"/>
      <c r="AF126" s="278"/>
      <c r="AG126" s="280"/>
      <c r="AH126" s="281"/>
      <c r="AI126" s="283"/>
      <c r="AJ126" s="284"/>
      <c r="AK126" s="284"/>
      <c r="AL126" s="284"/>
      <c r="AM126" s="285"/>
    </row>
    <row r="127" spans="2:39" ht="13.5" customHeight="1" thickBot="1" x14ac:dyDescent="0.2">
      <c r="B127" s="286"/>
      <c r="C127" s="287" t="s">
        <v>452</v>
      </c>
      <c r="D127" s="288">
        <f>+D125+D123</f>
        <v>29131190.730000004</v>
      </c>
      <c r="E127" s="549">
        <f t="shared" ref="E127:AH127" si="208">+E125+E123</f>
        <v>20777940</v>
      </c>
      <c r="F127" s="289">
        <f t="shared" si="208"/>
        <v>29131190.730000004</v>
      </c>
      <c r="G127" s="549">
        <f t="shared" si="208"/>
        <v>17228590</v>
      </c>
      <c r="H127" s="290">
        <f t="shared" si="208"/>
        <v>17443962</v>
      </c>
      <c r="I127" s="288">
        <f t="shared" si="208"/>
        <v>10404846.33</v>
      </c>
      <c r="J127" s="289">
        <f t="shared" si="208"/>
        <v>9568630</v>
      </c>
      <c r="K127" s="289">
        <f t="shared" si="208"/>
        <v>10404846.33</v>
      </c>
      <c r="L127" s="289">
        <f t="shared" si="208"/>
        <v>6490719</v>
      </c>
      <c r="M127" s="290">
        <f t="shared" si="208"/>
        <v>5961640</v>
      </c>
      <c r="N127" s="288">
        <f t="shared" si="208"/>
        <v>129026424.09999999</v>
      </c>
      <c r="O127" s="289">
        <f t="shared" si="208"/>
        <v>118068663.40000001</v>
      </c>
      <c r="P127" s="289">
        <f t="shared" si="208"/>
        <v>129026424.09999999</v>
      </c>
      <c r="Q127" s="289">
        <f t="shared" si="208"/>
        <v>113109876</v>
      </c>
      <c r="R127" s="290">
        <f t="shared" si="208"/>
        <v>95713535</v>
      </c>
      <c r="S127" s="288">
        <f t="shared" si="208"/>
        <v>151424539.22</v>
      </c>
      <c r="T127" s="289">
        <f t="shared" si="208"/>
        <v>155924682.24000001</v>
      </c>
      <c r="U127" s="289">
        <f t="shared" si="208"/>
        <v>151424539.22</v>
      </c>
      <c r="V127" s="289">
        <f t="shared" si="208"/>
        <v>150405358</v>
      </c>
      <c r="W127" s="290">
        <f t="shared" si="208"/>
        <v>148507137.59999999</v>
      </c>
      <c r="X127" s="288">
        <f t="shared" si="208"/>
        <v>280450963.31999999</v>
      </c>
      <c r="Y127" s="289">
        <f t="shared" si="208"/>
        <v>273993345.63999999</v>
      </c>
      <c r="Z127" s="289">
        <f t="shared" si="208"/>
        <v>280450963.31999999</v>
      </c>
      <c r="AA127" s="289">
        <f t="shared" si="208"/>
        <v>263515234</v>
      </c>
      <c r="AB127" s="290">
        <f t="shared" si="208"/>
        <v>244220672.59999999</v>
      </c>
      <c r="AC127" s="288">
        <f t="shared" si="208"/>
        <v>333320000.38</v>
      </c>
      <c r="AD127" s="289">
        <f t="shared" si="208"/>
        <v>336501571.38</v>
      </c>
      <c r="AE127" s="289">
        <f t="shared" si="208"/>
        <v>312515790.63999999</v>
      </c>
      <c r="AF127" s="289">
        <f t="shared" si="208"/>
        <v>333320000.38</v>
      </c>
      <c r="AG127" s="289">
        <f t="shared" si="208"/>
        <v>300567543</v>
      </c>
      <c r="AH127" s="290">
        <f t="shared" si="208"/>
        <v>278777369.60000002</v>
      </c>
      <c r="AI127" s="291"/>
      <c r="AJ127" s="287"/>
      <c r="AK127" s="287"/>
      <c r="AL127" s="287"/>
      <c r="AM127" s="290"/>
    </row>
    <row r="128" spans="2:39" x14ac:dyDescent="0.15">
      <c r="E128" s="550"/>
      <c r="G128" s="555"/>
      <c r="L128" s="292"/>
      <c r="AA128" s="454"/>
      <c r="AG128" s="454"/>
    </row>
    <row r="129" spans="2:39" ht="14" thickBot="1" x14ac:dyDescent="0.2">
      <c r="E129" s="550"/>
      <c r="G129" s="555"/>
      <c r="L129" s="292"/>
      <c r="AA129" s="454"/>
      <c r="AG129" s="454"/>
    </row>
    <row r="130" spans="2:39" ht="13.5" customHeight="1" x14ac:dyDescent="0.15">
      <c r="B130" s="293"/>
      <c r="C130" s="294" t="s">
        <v>453</v>
      </c>
      <c r="D130" s="295">
        <f>SUM(D131:D133)</f>
        <v>0</v>
      </c>
      <c r="E130" s="551">
        <f t="shared" ref="E130:AH130" si="209">SUM(E131:E133)</f>
        <v>0</v>
      </c>
      <c r="F130" s="296">
        <f t="shared" si="209"/>
        <v>0</v>
      </c>
      <c r="G130" s="556"/>
      <c r="H130" s="297">
        <f t="shared" si="209"/>
        <v>0</v>
      </c>
      <c r="I130" s="295">
        <f t="shared" si="209"/>
        <v>17600000</v>
      </c>
      <c r="J130" s="296">
        <f t="shared" si="209"/>
        <v>11279585</v>
      </c>
      <c r="K130" s="296">
        <f t="shared" si="209"/>
        <v>6100000</v>
      </c>
      <c r="L130" s="447"/>
      <c r="M130" s="297">
        <f t="shared" si="209"/>
        <v>6100000</v>
      </c>
      <c r="N130" s="295">
        <f t="shared" si="209"/>
        <v>0</v>
      </c>
      <c r="O130" s="296">
        <f t="shared" si="209"/>
        <v>0</v>
      </c>
      <c r="P130" s="296">
        <f t="shared" si="209"/>
        <v>0</v>
      </c>
      <c r="Q130" s="451"/>
      <c r="R130" s="297">
        <f t="shared" si="209"/>
        <v>0</v>
      </c>
      <c r="S130" s="295">
        <f t="shared" si="209"/>
        <v>0</v>
      </c>
      <c r="T130" s="296">
        <f t="shared" si="209"/>
        <v>0</v>
      </c>
      <c r="U130" s="296">
        <f t="shared" si="209"/>
        <v>0</v>
      </c>
      <c r="V130" s="451"/>
      <c r="W130" s="297">
        <f t="shared" si="209"/>
        <v>0</v>
      </c>
      <c r="X130" s="295">
        <f t="shared" si="209"/>
        <v>0</v>
      </c>
      <c r="Y130" s="296">
        <f t="shared" si="209"/>
        <v>0</v>
      </c>
      <c r="Z130" s="296">
        <f t="shared" si="209"/>
        <v>0</v>
      </c>
      <c r="AA130" s="451"/>
      <c r="AB130" s="297">
        <f t="shared" si="209"/>
        <v>0</v>
      </c>
      <c r="AC130" s="295">
        <f t="shared" si="209"/>
        <v>17600000</v>
      </c>
      <c r="AD130" s="296">
        <f t="shared" si="209"/>
        <v>17600000</v>
      </c>
      <c r="AE130" s="296">
        <f t="shared" si="209"/>
        <v>11279585</v>
      </c>
      <c r="AF130" s="296">
        <f t="shared" si="209"/>
        <v>6100000</v>
      </c>
      <c r="AG130" s="451"/>
      <c r="AH130" s="297">
        <f t="shared" si="209"/>
        <v>6100000</v>
      </c>
      <c r="AI130" s="298"/>
      <c r="AJ130" s="299"/>
      <c r="AK130" s="300"/>
      <c r="AL130" s="300"/>
      <c r="AM130" s="301"/>
    </row>
    <row r="131" spans="2:39" ht="13.5" customHeight="1" x14ac:dyDescent="0.15">
      <c r="B131" s="251" t="s">
        <v>241</v>
      </c>
      <c r="C131" s="241" t="s">
        <v>454</v>
      </c>
      <c r="D131" s="224"/>
      <c r="E131" s="541"/>
      <c r="F131" s="232"/>
      <c r="G131" s="557"/>
      <c r="H131" s="233"/>
      <c r="I131" s="224">
        <f>12200000+5400000</f>
        <v>17600000</v>
      </c>
      <c r="J131" s="226">
        <f>6645262+4634323</f>
        <v>11279585</v>
      </c>
      <c r="K131" s="226">
        <v>6100000</v>
      </c>
      <c r="L131" s="446"/>
      <c r="M131" s="227">
        <v>6100000</v>
      </c>
      <c r="N131" s="224"/>
      <c r="O131" s="232"/>
      <c r="P131" s="232"/>
      <c r="Q131" s="449"/>
      <c r="R131" s="233"/>
      <c r="S131" s="224"/>
      <c r="T131" s="232"/>
      <c r="U131" s="232"/>
      <c r="V131" s="449"/>
      <c r="W131" s="233"/>
      <c r="X131" s="224"/>
      <c r="Y131" s="226"/>
      <c r="Z131" s="226"/>
      <c r="AA131" s="449"/>
      <c r="AB131" s="227"/>
      <c r="AC131" s="224">
        <f t="shared" ref="AC131" si="210">+D131+I131+X131</f>
        <v>17600000</v>
      </c>
      <c r="AD131" s="226">
        <v>17600000</v>
      </c>
      <c r="AE131" s="226">
        <f>+E131+J131+Y131</f>
        <v>11279585</v>
      </c>
      <c r="AF131" s="226">
        <f>+F131+K131+Z131</f>
        <v>6100000</v>
      </c>
      <c r="AG131" s="449"/>
      <c r="AH131" s="227">
        <f t="shared" ref="AH131" si="211">+H131+M131+AB131</f>
        <v>6100000</v>
      </c>
      <c r="AI131" s="252"/>
      <c r="AJ131" s="253"/>
      <c r="AK131" s="253"/>
      <c r="AL131" s="253"/>
      <c r="AM131" s="254"/>
    </row>
    <row r="132" spans="2:39" ht="13.5" customHeight="1" x14ac:dyDescent="0.15">
      <c r="B132" s="251"/>
      <c r="C132" s="241"/>
      <c r="D132" s="224"/>
      <c r="E132" s="541"/>
      <c r="F132" s="232"/>
      <c r="G132" s="557"/>
      <c r="H132" s="233"/>
      <c r="I132" s="224"/>
      <c r="J132" s="232"/>
      <c r="K132" s="232"/>
      <c r="L132" s="271"/>
      <c r="M132" s="233"/>
      <c r="N132" s="224"/>
      <c r="O132" s="232"/>
      <c r="P132" s="232"/>
      <c r="Q132" s="449"/>
      <c r="R132" s="233"/>
      <c r="S132" s="224"/>
      <c r="T132" s="232"/>
      <c r="U132" s="232"/>
      <c r="V132" s="449"/>
      <c r="W132" s="233"/>
      <c r="X132" s="224"/>
      <c r="Y132" s="226"/>
      <c r="Z132" s="226"/>
      <c r="AA132" s="449"/>
      <c r="AB132" s="227"/>
      <c r="AC132" s="224"/>
      <c r="AD132" s="226"/>
      <c r="AE132" s="226"/>
      <c r="AF132" s="226"/>
      <c r="AG132" s="449"/>
      <c r="AH132" s="227"/>
      <c r="AI132" s="252"/>
      <c r="AJ132" s="253"/>
      <c r="AK132" s="253"/>
      <c r="AL132" s="253"/>
      <c r="AM132" s="254"/>
    </row>
    <row r="133" spans="2:39" ht="13.5" customHeight="1" thickBot="1" x14ac:dyDescent="0.2">
      <c r="B133" s="302"/>
      <c r="C133" s="303"/>
      <c r="D133" s="304"/>
      <c r="E133" s="552"/>
      <c r="F133" s="305"/>
      <c r="G133" s="558"/>
      <c r="H133" s="306"/>
      <c r="I133" s="304"/>
      <c r="J133" s="305"/>
      <c r="K133" s="305"/>
      <c r="L133" s="448"/>
      <c r="M133" s="306"/>
      <c r="N133" s="304"/>
      <c r="O133" s="305"/>
      <c r="P133" s="305"/>
      <c r="Q133" s="452"/>
      <c r="R133" s="306"/>
      <c r="S133" s="304"/>
      <c r="T133" s="305"/>
      <c r="U133" s="305"/>
      <c r="V133" s="452"/>
      <c r="W133" s="306"/>
      <c r="X133" s="304"/>
      <c r="Y133" s="307"/>
      <c r="Z133" s="307"/>
      <c r="AA133" s="452"/>
      <c r="AB133" s="308"/>
      <c r="AC133" s="304"/>
      <c r="AD133" s="307"/>
      <c r="AE133" s="307"/>
      <c r="AF133" s="307"/>
      <c r="AG133" s="452"/>
      <c r="AH133" s="308"/>
      <c r="AI133" s="309"/>
      <c r="AJ133" s="310"/>
      <c r="AK133" s="310"/>
      <c r="AL133" s="310"/>
      <c r="AM133" s="311"/>
    </row>
    <row r="135" spans="2:39" x14ac:dyDescent="0.15">
      <c r="B135" s="201" t="s">
        <v>455</v>
      </c>
      <c r="O135" s="312"/>
      <c r="T135" s="313"/>
    </row>
    <row r="136" spans="2:39" x14ac:dyDescent="0.15">
      <c r="B136" s="201" t="s">
        <v>456</v>
      </c>
      <c r="AF136" s="314"/>
      <c r="AG136" s="453"/>
    </row>
    <row r="137" spans="2:39" x14ac:dyDescent="0.15">
      <c r="B137" s="201" t="s">
        <v>457</v>
      </c>
      <c r="S137" s="314"/>
    </row>
    <row r="138" spans="2:39" x14ac:dyDescent="0.15">
      <c r="B138" s="201" t="s">
        <v>458</v>
      </c>
      <c r="AD138" s="314"/>
    </row>
    <row r="139" spans="2:39" x14ac:dyDescent="0.15">
      <c r="B139" s="201" t="s">
        <v>459</v>
      </c>
    </row>
    <row r="140" spans="2:39" x14ac:dyDescent="0.15">
      <c r="E140" s="314"/>
      <c r="F140" s="314"/>
      <c r="G140" s="453"/>
      <c r="H140" s="314"/>
      <c r="R140" s="314"/>
    </row>
    <row r="141" spans="2:39" x14ac:dyDescent="0.15">
      <c r="E141" s="314"/>
      <c r="F141" s="314"/>
      <c r="G141" s="453"/>
      <c r="H141" s="314"/>
    </row>
    <row r="142" spans="2:39" x14ac:dyDescent="0.15">
      <c r="E142" s="314"/>
      <c r="F142" s="314"/>
      <c r="G142" s="453"/>
      <c r="H142" s="314"/>
    </row>
    <row r="143" spans="2:39" x14ac:dyDescent="0.15">
      <c r="E143" s="314"/>
      <c r="F143" s="314"/>
      <c r="G143" s="453"/>
      <c r="H143" s="314"/>
    </row>
    <row r="144" spans="2:39" x14ac:dyDescent="0.15">
      <c r="E144" s="314"/>
      <c r="F144" s="314"/>
      <c r="G144" s="453"/>
      <c r="H144" s="314"/>
    </row>
    <row r="145" spans="5:8" x14ac:dyDescent="0.15">
      <c r="E145" s="314"/>
      <c r="F145" s="314"/>
      <c r="G145" s="453"/>
      <c r="H145" s="314"/>
    </row>
  </sheetData>
  <mergeCells count="8">
    <mergeCell ref="AC5:AH5"/>
    <mergeCell ref="AI5:AM5"/>
    <mergeCell ref="D4:S4"/>
    <mergeCell ref="D5:H5"/>
    <mergeCell ref="I5:M5"/>
    <mergeCell ref="N5:R5"/>
    <mergeCell ref="S5:W5"/>
    <mergeCell ref="X5:AB5"/>
  </mergeCells>
  <pageMargins left="0.7" right="0.7" top="0.75" bottom="0.75" header="0.3" footer="0.3"/>
  <pageSetup paperSize="17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9"/>
  <sheetViews>
    <sheetView topLeftCell="C1" workbookViewId="0">
      <pane xSplit="1" topLeftCell="D1" activePane="topRight" state="frozen"/>
      <selection activeCell="H15" sqref="H15"/>
      <selection pane="topRight" activeCell="H15" sqref="H15"/>
    </sheetView>
  </sheetViews>
  <sheetFormatPr baseColWidth="10" defaultColWidth="8.83203125" defaultRowHeight="13" x14ac:dyDescent="0.15"/>
  <cols>
    <col min="1" max="1" width="8.83203125" style="323" hidden="1" customWidth="1"/>
    <col min="2" max="2" width="24.83203125" style="369" hidden="1" customWidth="1"/>
    <col min="3" max="3" width="55.5" style="323" customWidth="1"/>
    <col min="4" max="4" width="18.83203125" style="420" customWidth="1" collapsed="1"/>
    <col min="5" max="5" width="18.83203125" style="420" customWidth="1"/>
    <col min="6" max="6" width="18.83203125" style="421" customWidth="1"/>
    <col min="7" max="7" width="19.1640625" style="421" customWidth="1"/>
    <col min="8" max="8" width="13.5" style="422" customWidth="1"/>
    <col min="9" max="9" width="13.6640625" style="507" customWidth="1"/>
    <col min="10" max="10" width="13.6640625" style="421" customWidth="1"/>
    <col min="11" max="11" width="12" style="421" customWidth="1"/>
    <col min="12" max="12" width="12.1640625" style="421" customWidth="1"/>
    <col min="13" max="13" width="13.5" style="422" customWidth="1"/>
    <col min="14" max="16" width="15.83203125" style="421" customWidth="1"/>
    <col min="17" max="17" width="16.83203125" style="421" customWidth="1"/>
    <col min="18" max="18" width="13.5" style="422" customWidth="1"/>
    <col min="19" max="19" width="12.1640625" style="423" customWidth="1"/>
    <col min="20" max="20" width="10.1640625" style="423" customWidth="1"/>
    <col min="21" max="21" width="12.1640625" style="423" customWidth="1"/>
    <col min="22" max="22" width="10.1640625" style="423" customWidth="1"/>
    <col min="23" max="23" width="12.1640625" style="420" customWidth="1" collapsed="1"/>
    <col min="24" max="25" width="10.1640625" style="421" customWidth="1"/>
    <col min="26" max="26" width="12.1640625" style="421" customWidth="1"/>
    <col min="27" max="28" width="10.1640625" style="421" customWidth="1"/>
    <col min="29" max="29" width="12.1640625" style="421" customWidth="1"/>
    <col min="30" max="31" width="10.1640625" style="421" customWidth="1"/>
    <col min="32" max="32" width="12.1640625" style="421" customWidth="1"/>
    <col min="33" max="34" width="10.1640625" style="421" customWidth="1"/>
    <col min="35" max="35" width="12.1640625" style="421" customWidth="1"/>
    <col min="36" max="37" width="10.1640625" style="421" customWidth="1"/>
    <col min="38" max="38" width="20" style="323" customWidth="1"/>
    <col min="39" max="39" width="18.33203125" style="323" bestFit="1" customWidth="1"/>
    <col min="40" max="40" width="11.5" style="323" bestFit="1" customWidth="1"/>
    <col min="41" max="41" width="10.5" style="323" bestFit="1" customWidth="1"/>
    <col min="42" max="42" width="40.83203125" style="323" bestFit="1" customWidth="1"/>
    <col min="43" max="16384" width="8.83203125" style="323"/>
  </cols>
  <sheetData>
    <row r="1" spans="1:42" ht="20" hidden="1" customHeight="1" x14ac:dyDescent="0.15">
      <c r="A1" s="315"/>
      <c r="B1" s="199" t="s">
        <v>251</v>
      </c>
      <c r="C1" s="316"/>
      <c r="D1" s="317"/>
      <c r="E1" s="318"/>
      <c r="F1" s="319"/>
      <c r="G1" s="319"/>
      <c r="H1" s="320"/>
      <c r="I1" s="494"/>
      <c r="J1" s="319"/>
      <c r="K1" s="319"/>
      <c r="L1" s="319"/>
      <c r="M1" s="320"/>
      <c r="N1" s="319"/>
      <c r="O1" s="319"/>
      <c r="P1" s="319"/>
      <c r="Q1" s="319"/>
      <c r="R1" s="320"/>
      <c r="S1" s="321"/>
      <c r="T1" s="321"/>
      <c r="U1" s="321"/>
      <c r="V1" s="321"/>
      <c r="W1" s="318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22"/>
      <c r="AM1" s="322"/>
      <c r="AN1" s="322"/>
      <c r="AO1" s="322"/>
      <c r="AP1" s="322"/>
    </row>
    <row r="2" spans="1:42" ht="20" hidden="1" customHeight="1" x14ac:dyDescent="0.15">
      <c r="A2" s="315"/>
      <c r="B2" s="199" t="s">
        <v>252</v>
      </c>
      <c r="C2" s="324"/>
      <c r="D2" s="317"/>
      <c r="E2" s="318"/>
      <c r="F2" s="319"/>
      <c r="G2" s="319"/>
      <c r="H2" s="320"/>
      <c r="I2" s="494"/>
      <c r="J2" s="319"/>
      <c r="K2" s="319"/>
      <c r="L2" s="319"/>
      <c r="M2" s="320"/>
      <c r="N2" s="319"/>
      <c r="O2" s="319"/>
      <c r="P2" s="319"/>
      <c r="Q2" s="319"/>
      <c r="R2" s="320"/>
      <c r="S2" s="321"/>
      <c r="T2" s="321"/>
      <c r="U2" s="321"/>
      <c r="V2" s="321"/>
      <c r="W2" s="318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22"/>
      <c r="AM2" s="322"/>
      <c r="AN2" s="322"/>
      <c r="AO2" s="322"/>
      <c r="AP2" s="322"/>
    </row>
    <row r="3" spans="1:42" ht="20" hidden="1" customHeight="1" thickBot="1" x14ac:dyDescent="0.2">
      <c r="A3" s="325"/>
      <c r="B3" s="199"/>
      <c r="C3" s="324"/>
      <c r="D3" s="326"/>
      <c r="E3" s="326"/>
      <c r="F3" s="327"/>
      <c r="G3" s="327"/>
      <c r="H3" s="328"/>
      <c r="I3" s="495"/>
      <c r="J3" s="327"/>
      <c r="K3" s="327"/>
      <c r="L3" s="327"/>
      <c r="M3" s="328"/>
      <c r="N3" s="327"/>
      <c r="O3" s="327"/>
      <c r="P3" s="327"/>
      <c r="Q3" s="327"/>
      <c r="R3" s="328"/>
      <c r="S3" s="329"/>
      <c r="T3" s="329"/>
      <c r="U3" s="329"/>
      <c r="V3" s="329"/>
      <c r="W3" s="326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16"/>
      <c r="AM3" s="316"/>
      <c r="AN3" s="316"/>
      <c r="AO3" s="316"/>
      <c r="AP3" s="316"/>
    </row>
    <row r="4" spans="1:42" ht="20" hidden="1" customHeight="1" thickBot="1" x14ac:dyDescent="0.2">
      <c r="A4" s="325"/>
      <c r="B4" s="330"/>
      <c r="C4" s="324"/>
      <c r="D4" s="658"/>
      <c r="E4" s="659"/>
      <c r="F4" s="659"/>
      <c r="G4" s="659"/>
      <c r="H4" s="659"/>
      <c r="I4" s="659"/>
      <c r="J4" s="659"/>
      <c r="K4" s="659"/>
      <c r="L4" s="659"/>
      <c r="M4" s="331"/>
      <c r="N4" s="332"/>
      <c r="O4" s="332"/>
      <c r="P4" s="332"/>
      <c r="Q4" s="332"/>
      <c r="R4" s="331"/>
      <c r="S4" s="333"/>
      <c r="T4" s="334"/>
      <c r="U4" s="333"/>
      <c r="V4" s="334"/>
      <c r="W4" s="660" t="s">
        <v>460</v>
      </c>
      <c r="X4" s="661"/>
      <c r="Y4" s="661"/>
      <c r="Z4" s="661"/>
      <c r="AA4" s="661"/>
      <c r="AB4" s="661"/>
      <c r="AC4" s="661"/>
      <c r="AD4" s="661"/>
      <c r="AE4" s="662"/>
      <c r="AF4" s="663" t="s">
        <v>461</v>
      </c>
      <c r="AG4" s="664"/>
      <c r="AH4" s="664"/>
      <c r="AI4" s="664"/>
      <c r="AJ4" s="664"/>
      <c r="AK4" s="665"/>
      <c r="AL4" s="316"/>
      <c r="AM4" s="316"/>
      <c r="AN4" s="316"/>
      <c r="AO4" s="316"/>
      <c r="AP4" s="316"/>
    </row>
    <row r="5" spans="1:42" ht="20" hidden="1" customHeight="1" thickBot="1" x14ac:dyDescent="0.2">
      <c r="A5" s="325"/>
      <c r="B5" s="666" t="s">
        <v>462</v>
      </c>
      <c r="C5" s="666"/>
      <c r="D5" s="667" t="s">
        <v>463</v>
      </c>
      <c r="E5" s="668"/>
      <c r="F5" s="668"/>
      <c r="G5" s="668"/>
      <c r="H5" s="669"/>
      <c r="I5" s="667" t="s">
        <v>464</v>
      </c>
      <c r="J5" s="668"/>
      <c r="K5" s="668"/>
      <c r="L5" s="668"/>
      <c r="M5" s="669"/>
      <c r="N5" s="667" t="s">
        <v>465</v>
      </c>
      <c r="O5" s="668"/>
      <c r="P5" s="668"/>
      <c r="Q5" s="668"/>
      <c r="R5" s="669"/>
      <c r="S5" s="670" t="s">
        <v>466</v>
      </c>
      <c r="T5" s="671"/>
      <c r="U5" s="670" t="s">
        <v>212</v>
      </c>
      <c r="V5" s="671"/>
      <c r="W5" s="672" t="s">
        <v>467</v>
      </c>
      <c r="X5" s="673"/>
      <c r="Y5" s="673"/>
      <c r="Z5" s="674" t="s">
        <v>468</v>
      </c>
      <c r="AA5" s="673"/>
      <c r="AB5" s="673"/>
      <c r="AC5" s="675" t="s">
        <v>469</v>
      </c>
      <c r="AD5" s="676"/>
      <c r="AE5" s="677"/>
      <c r="AF5" s="672" t="s">
        <v>470</v>
      </c>
      <c r="AG5" s="673"/>
      <c r="AH5" s="678"/>
      <c r="AI5" s="675" t="s">
        <v>471</v>
      </c>
      <c r="AJ5" s="676"/>
      <c r="AK5" s="677"/>
      <c r="AL5" s="656" t="s">
        <v>472</v>
      </c>
      <c r="AM5" s="656"/>
      <c r="AN5" s="656"/>
      <c r="AO5" s="656"/>
      <c r="AP5" s="657"/>
    </row>
    <row r="6" spans="1:42" s="347" customFormat="1" ht="65.25" customHeight="1" thickBot="1" x14ac:dyDescent="0.25">
      <c r="A6" s="335"/>
      <c r="B6" s="336" t="s">
        <v>259</v>
      </c>
      <c r="C6" s="337" t="s">
        <v>260</v>
      </c>
      <c r="D6" s="338" t="s">
        <v>473</v>
      </c>
      <c r="E6" s="339" t="s">
        <v>474</v>
      </c>
      <c r="F6" s="340" t="s">
        <v>475</v>
      </c>
      <c r="G6" s="340" t="s">
        <v>476</v>
      </c>
      <c r="H6" s="341" t="s">
        <v>477</v>
      </c>
      <c r="I6" s="496" t="s">
        <v>473</v>
      </c>
      <c r="J6" s="537" t="s">
        <v>474</v>
      </c>
      <c r="K6" s="340" t="s">
        <v>475</v>
      </c>
      <c r="L6" s="340" t="s">
        <v>476</v>
      </c>
      <c r="M6" s="341" t="s">
        <v>477</v>
      </c>
      <c r="N6" s="338" t="s">
        <v>473</v>
      </c>
      <c r="O6" s="339" t="s">
        <v>474</v>
      </c>
      <c r="P6" s="340" t="s">
        <v>475</v>
      </c>
      <c r="Q6" s="340" t="s">
        <v>476</v>
      </c>
      <c r="R6" s="341" t="s">
        <v>477</v>
      </c>
      <c r="S6" s="338" t="s">
        <v>474</v>
      </c>
      <c r="T6" s="342">
        <v>2017</v>
      </c>
      <c r="U6" s="343" t="s">
        <v>478</v>
      </c>
      <c r="V6" s="342">
        <v>2017</v>
      </c>
      <c r="W6" s="338" t="s">
        <v>474</v>
      </c>
      <c r="X6" s="339">
        <v>2016</v>
      </c>
      <c r="Y6" s="339">
        <v>2017</v>
      </c>
      <c r="Z6" s="339" t="s">
        <v>479</v>
      </c>
      <c r="AA6" s="339">
        <v>2016</v>
      </c>
      <c r="AB6" s="339">
        <v>2017</v>
      </c>
      <c r="AC6" s="339" t="s">
        <v>479</v>
      </c>
      <c r="AD6" s="339">
        <v>2016</v>
      </c>
      <c r="AE6" s="344">
        <v>2017</v>
      </c>
      <c r="AF6" s="338" t="s">
        <v>479</v>
      </c>
      <c r="AG6" s="339">
        <v>2016</v>
      </c>
      <c r="AH6" s="339">
        <v>2017</v>
      </c>
      <c r="AI6" s="339" t="s">
        <v>479</v>
      </c>
      <c r="AJ6" s="339">
        <v>2016</v>
      </c>
      <c r="AK6" s="344">
        <v>2017</v>
      </c>
      <c r="AL6" s="345" t="s">
        <v>266</v>
      </c>
      <c r="AM6" s="346" t="s">
        <v>267</v>
      </c>
      <c r="AN6" s="346" t="s">
        <v>268</v>
      </c>
      <c r="AO6" s="346" t="s">
        <v>269</v>
      </c>
      <c r="AP6" s="346" t="s">
        <v>270</v>
      </c>
    </row>
    <row r="7" spans="1:42" ht="12.75" customHeight="1" thickTop="1" x14ac:dyDescent="0.15">
      <c r="A7" s="316"/>
      <c r="B7" s="236" t="s">
        <v>271</v>
      </c>
      <c r="C7" s="237" t="s">
        <v>272</v>
      </c>
      <c r="D7" s="348">
        <f>SUM(D8:D14)</f>
        <v>87083106.240269795</v>
      </c>
      <c r="E7" s="348">
        <f t="shared" ref="E7:G7" si="0">SUM(E8:E14)</f>
        <v>94480563.827421829</v>
      </c>
      <c r="F7" s="348">
        <f t="shared" si="0"/>
        <v>63819408.568213239</v>
      </c>
      <c r="G7" s="348">
        <f t="shared" si="0"/>
        <v>112360744.95196119</v>
      </c>
      <c r="H7" s="350">
        <f t="shared" ref="H7:H38" si="1">+G7/$G$123</f>
        <v>8.0255229086219765E-2</v>
      </c>
      <c r="I7" s="497">
        <f t="shared" ref="I7" si="2">SUM(I8:I14)</f>
        <v>21924.899783177749</v>
      </c>
      <c r="J7" s="348">
        <f t="shared" ref="J7" si="3">SUM(J8:J14)</f>
        <v>28347.470518119269</v>
      </c>
      <c r="K7" s="348">
        <f t="shared" ref="K7" si="4">SUM(K8:K14)</f>
        <v>18022.115984143755</v>
      </c>
      <c r="L7" s="348">
        <f t="shared" ref="L7" si="5">SUM(L8:L14)</f>
        <v>43934.923659612126</v>
      </c>
      <c r="M7" s="350">
        <f t="shared" ref="M7:M38" si="6">+L7/$L$123</f>
        <v>0.15710708677515464</v>
      </c>
      <c r="N7" s="351">
        <v>0</v>
      </c>
      <c r="O7" s="352">
        <v>0</v>
      </c>
      <c r="P7" s="352">
        <v>0</v>
      </c>
      <c r="Q7" s="352">
        <v>0</v>
      </c>
      <c r="R7" s="353">
        <v>0</v>
      </c>
      <c r="S7" s="354">
        <f>AVERAGE(S8:S13)</f>
        <v>0.53875927454812234</v>
      </c>
      <c r="T7" s="493"/>
      <c r="U7" s="493"/>
      <c r="V7" s="493"/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3"/>
      <c r="AJ7" s="493"/>
      <c r="AK7" s="493"/>
      <c r="AL7" s="238" t="s">
        <v>273</v>
      </c>
      <c r="AM7" s="239" t="s">
        <v>228</v>
      </c>
      <c r="AN7" s="216"/>
      <c r="AO7" s="216"/>
      <c r="AP7" s="239" t="s">
        <v>274</v>
      </c>
    </row>
    <row r="8" spans="1:42" ht="12.75" customHeight="1" x14ac:dyDescent="0.15">
      <c r="A8" s="316"/>
      <c r="B8" s="222" t="s">
        <v>275</v>
      </c>
      <c r="C8" s="223" t="s">
        <v>1</v>
      </c>
      <c r="D8" s="356">
        <v>5083802.5999999996</v>
      </c>
      <c r="E8" s="357">
        <v>18729407.82</v>
      </c>
      <c r="F8" s="357">
        <v>8122257</v>
      </c>
      <c r="G8" s="357">
        <v>66786000</v>
      </c>
      <c r="H8" s="358">
        <f t="shared" si="1"/>
        <v>4.7702831910235735E-2</v>
      </c>
      <c r="I8" s="498">
        <v>2427.7019999999998</v>
      </c>
      <c r="J8" s="357">
        <v>9008.4089999999906</v>
      </c>
      <c r="K8" s="357">
        <v>3266</v>
      </c>
      <c r="L8" s="357">
        <v>29200</v>
      </c>
      <c r="M8" s="358">
        <f t="shared" si="6"/>
        <v>0.1044164084448307</v>
      </c>
      <c r="N8" s="359">
        <v>0</v>
      </c>
      <c r="O8" s="360">
        <v>0</v>
      </c>
      <c r="P8" s="360">
        <v>0</v>
      </c>
      <c r="Q8" s="360">
        <v>0</v>
      </c>
      <c r="R8" s="361">
        <v>0</v>
      </c>
      <c r="S8" s="362">
        <v>0.23852992839846299</v>
      </c>
      <c r="T8" s="363">
        <v>0.831401846821752</v>
      </c>
      <c r="U8" s="362">
        <v>0.48703919483955999</v>
      </c>
      <c r="V8" s="363">
        <v>0.83503969998730099</v>
      </c>
      <c r="W8" s="359">
        <v>0.61988894582518617</v>
      </c>
      <c r="X8" s="360">
        <v>0</v>
      </c>
      <c r="Y8" s="360">
        <v>0.97864522693742106</v>
      </c>
      <c r="Z8" s="360">
        <v>0.61988894582518617</v>
      </c>
      <c r="AA8" s="360">
        <v>0</v>
      </c>
      <c r="AB8" s="360">
        <v>0.97864522693742106</v>
      </c>
      <c r="AC8" s="360">
        <v>0</v>
      </c>
      <c r="AD8" s="360">
        <v>0</v>
      </c>
      <c r="AE8" s="361">
        <v>0</v>
      </c>
      <c r="AF8" s="359">
        <v>2.9999999999999938</v>
      </c>
      <c r="AG8" s="360">
        <v>0</v>
      </c>
      <c r="AH8" s="360">
        <v>1.19443144299615</v>
      </c>
      <c r="AI8" s="360">
        <v>0</v>
      </c>
      <c r="AJ8" s="360">
        <v>0</v>
      </c>
      <c r="AK8" s="361">
        <v>0</v>
      </c>
      <c r="AL8" s="228" t="s">
        <v>273</v>
      </c>
      <c r="AM8" s="229" t="s">
        <v>228</v>
      </c>
      <c r="AN8" s="229" t="s">
        <v>276</v>
      </c>
      <c r="AO8" s="229" t="s">
        <v>277</v>
      </c>
      <c r="AP8" s="229" t="s">
        <v>278</v>
      </c>
    </row>
    <row r="9" spans="1:42" ht="12.75" customHeight="1" x14ac:dyDescent="0.15">
      <c r="A9" s="316"/>
      <c r="B9" s="222" t="s">
        <v>279</v>
      </c>
      <c r="C9" s="223" t="s">
        <v>3</v>
      </c>
      <c r="D9" s="356">
        <v>45052108.722600006</v>
      </c>
      <c r="E9" s="357">
        <v>50790685.050833203</v>
      </c>
      <c r="F9" s="357">
        <v>25377951.926845998</v>
      </c>
      <c r="G9" s="357">
        <v>19851597.678371102</v>
      </c>
      <c r="H9" s="358">
        <f t="shared" si="1"/>
        <v>1.4179280495926731E-2</v>
      </c>
      <c r="I9" s="498">
        <v>10693.130970000004</v>
      </c>
      <c r="J9" s="357">
        <v>12482.261490582699</v>
      </c>
      <c r="K9" s="357">
        <v>6933.2583109282368</v>
      </c>
      <c r="L9" s="357">
        <v>8725.5422750057696</v>
      </c>
      <c r="M9" s="358">
        <f t="shared" si="6"/>
        <v>3.1201705003069853E-2</v>
      </c>
      <c r="N9" s="359">
        <v>0</v>
      </c>
      <c r="O9" s="360">
        <v>0</v>
      </c>
      <c r="P9" s="360">
        <v>0</v>
      </c>
      <c r="Q9" s="360">
        <v>0</v>
      </c>
      <c r="R9" s="361">
        <v>0</v>
      </c>
      <c r="S9" s="362">
        <v>0.84577447713611698</v>
      </c>
      <c r="T9" s="363">
        <v>1.2650091240644099</v>
      </c>
      <c r="U9" s="362">
        <v>1.42155518598109</v>
      </c>
      <c r="V9" s="363">
        <v>1.8721974999186399</v>
      </c>
      <c r="W9" s="359">
        <v>0.60715854811369618</v>
      </c>
      <c r="X9" s="360">
        <v>0</v>
      </c>
      <c r="Y9" s="360">
        <v>0.60611287977125161</v>
      </c>
      <c r="Z9" s="360">
        <v>0.60715854811369618</v>
      </c>
      <c r="AA9" s="360">
        <v>0</v>
      </c>
      <c r="AB9" s="360">
        <v>0.60611287977125161</v>
      </c>
      <c r="AC9" s="360">
        <v>0</v>
      </c>
      <c r="AD9" s="360">
        <v>0</v>
      </c>
      <c r="AE9" s="361">
        <v>0</v>
      </c>
      <c r="AF9" s="359">
        <v>6.8125328657816846</v>
      </c>
      <c r="AG9" s="360">
        <v>0</v>
      </c>
      <c r="AH9" s="360">
        <v>7.4495816015427314</v>
      </c>
      <c r="AI9" s="360">
        <v>0</v>
      </c>
      <c r="AJ9" s="360">
        <v>0</v>
      </c>
      <c r="AK9" s="361">
        <v>0</v>
      </c>
      <c r="AL9" s="228" t="s">
        <v>273</v>
      </c>
      <c r="AM9" s="229" t="s">
        <v>228</v>
      </c>
      <c r="AN9" s="229" t="s">
        <v>276</v>
      </c>
      <c r="AO9" s="229" t="s">
        <v>280</v>
      </c>
      <c r="AP9" s="229" t="s">
        <v>281</v>
      </c>
    </row>
    <row r="10" spans="1:42" ht="12.75" customHeight="1" x14ac:dyDescent="0.15">
      <c r="A10" s="316"/>
      <c r="B10" s="222" t="s">
        <v>282</v>
      </c>
      <c r="C10" s="223" t="s">
        <v>2</v>
      </c>
      <c r="D10" s="356">
        <v>30982641.863869179</v>
      </c>
      <c r="E10" s="357">
        <v>18598492.761732999</v>
      </c>
      <c r="F10" s="357">
        <v>24780082</v>
      </c>
      <c r="G10" s="357">
        <v>16918470.9476333</v>
      </c>
      <c r="H10" s="358">
        <f t="shared" si="1"/>
        <v>1.2084253822554998E-2</v>
      </c>
      <c r="I10" s="498">
        <v>3191.5453308684014</v>
      </c>
      <c r="J10" s="357">
        <v>1189.78781267658</v>
      </c>
      <c r="K10" s="357">
        <v>2329.00132504251</v>
      </c>
      <c r="L10" s="357">
        <v>1643.89200903918</v>
      </c>
      <c r="M10" s="358">
        <f t="shared" si="6"/>
        <v>5.8784006662680934E-3</v>
      </c>
      <c r="N10" s="359">
        <v>0</v>
      </c>
      <c r="O10" s="360">
        <v>0</v>
      </c>
      <c r="P10" s="360">
        <v>0</v>
      </c>
      <c r="Q10" s="360">
        <v>0</v>
      </c>
      <c r="R10" s="361">
        <v>0</v>
      </c>
      <c r="S10" s="362">
        <v>0.97484257826087795</v>
      </c>
      <c r="T10" s="363">
        <v>1.38691243385042</v>
      </c>
      <c r="U10" s="362">
        <v>1.09733404616926</v>
      </c>
      <c r="V10" s="363">
        <v>1.4301343883120099</v>
      </c>
      <c r="W10" s="359">
        <v>0.846723091485443</v>
      </c>
      <c r="X10" s="360">
        <v>0</v>
      </c>
      <c r="Y10" s="360">
        <v>0.81062308398568972</v>
      </c>
      <c r="Z10" s="360">
        <v>0.846723091485443</v>
      </c>
      <c r="AA10" s="360">
        <v>0</v>
      </c>
      <c r="AB10" s="360">
        <v>0.81062308398568972</v>
      </c>
      <c r="AC10" s="360">
        <v>0</v>
      </c>
      <c r="AD10" s="360">
        <v>0</v>
      </c>
      <c r="AE10" s="361">
        <v>0</v>
      </c>
      <c r="AF10" s="359">
        <v>11.980834749276033</v>
      </c>
      <c r="AG10" s="360">
        <v>0</v>
      </c>
      <c r="AH10" s="360">
        <v>11.388491172841311</v>
      </c>
      <c r="AI10" s="360">
        <v>0</v>
      </c>
      <c r="AJ10" s="360">
        <v>0</v>
      </c>
      <c r="AK10" s="361">
        <v>0</v>
      </c>
      <c r="AL10" s="228" t="s">
        <v>283</v>
      </c>
      <c r="AM10" s="229" t="s">
        <v>228</v>
      </c>
      <c r="AN10" s="229" t="s">
        <v>276</v>
      </c>
      <c r="AO10" s="229" t="s">
        <v>277</v>
      </c>
      <c r="AP10" s="229" t="s">
        <v>284</v>
      </c>
    </row>
    <row r="11" spans="1:42" ht="12.75" customHeight="1" x14ac:dyDescent="0.15">
      <c r="A11" s="316"/>
      <c r="B11" s="222" t="s">
        <v>285</v>
      </c>
      <c r="C11" s="223" t="s">
        <v>8</v>
      </c>
      <c r="D11" s="356">
        <v>3694178.2481345199</v>
      </c>
      <c r="E11" s="357">
        <v>2174865.8252266198</v>
      </c>
      <c r="F11" s="357">
        <v>2286513.258518002</v>
      </c>
      <c r="G11" s="357">
        <v>840266.55072000006</v>
      </c>
      <c r="H11" s="358">
        <f t="shared" si="1"/>
        <v>6.0017210236860627E-4</v>
      </c>
      <c r="I11" s="498">
        <v>2543.6009400846683</v>
      </c>
      <c r="J11" s="357">
        <v>2061.50214886</v>
      </c>
      <c r="K11" s="357">
        <v>2556.3235239999935</v>
      </c>
      <c r="L11" s="357">
        <v>1048.1356800000001</v>
      </c>
      <c r="M11" s="358">
        <f t="shared" si="6"/>
        <v>3.7480329886465883E-3</v>
      </c>
      <c r="N11" s="359">
        <v>0</v>
      </c>
      <c r="O11" s="360">
        <v>0</v>
      </c>
      <c r="P11" s="360">
        <v>0</v>
      </c>
      <c r="Q11" s="360">
        <v>0</v>
      </c>
      <c r="R11" s="361">
        <v>0</v>
      </c>
      <c r="S11" s="362">
        <v>0.15781082521072501</v>
      </c>
      <c r="T11" s="363">
        <v>0.14220035456813601</v>
      </c>
      <c r="U11" s="362">
        <v>0.55505911038799904</v>
      </c>
      <c r="V11" s="363">
        <v>0.24241089913858299</v>
      </c>
      <c r="W11" s="359">
        <v>0.64734595737445944</v>
      </c>
      <c r="X11" s="360">
        <v>0</v>
      </c>
      <c r="Y11" s="360">
        <v>0.60000001192092911</v>
      </c>
      <c r="Z11" s="360">
        <v>0.64734595737445944</v>
      </c>
      <c r="AA11" s="360">
        <v>0</v>
      </c>
      <c r="AB11" s="360">
        <v>0.60000001192092911</v>
      </c>
      <c r="AC11" s="360">
        <v>0</v>
      </c>
      <c r="AD11" s="360">
        <v>0</v>
      </c>
      <c r="AE11" s="361">
        <v>0</v>
      </c>
      <c r="AF11" s="359">
        <v>12.968599214371984</v>
      </c>
      <c r="AG11" s="360">
        <v>0</v>
      </c>
      <c r="AH11" s="360">
        <v>13.999999999999996</v>
      </c>
      <c r="AI11" s="360">
        <v>0</v>
      </c>
      <c r="AJ11" s="360">
        <v>0</v>
      </c>
      <c r="AK11" s="361">
        <v>0</v>
      </c>
      <c r="AL11" s="228" t="s">
        <v>273</v>
      </c>
      <c r="AM11" s="229" t="s">
        <v>228</v>
      </c>
      <c r="AN11" s="229" t="s">
        <v>276</v>
      </c>
      <c r="AO11" s="229" t="s">
        <v>277</v>
      </c>
      <c r="AP11" s="229" t="s">
        <v>286</v>
      </c>
    </row>
    <row r="12" spans="1:42" ht="12.75" customHeight="1" x14ac:dyDescent="0.15">
      <c r="A12" s="316"/>
      <c r="B12" s="222" t="s">
        <v>287</v>
      </c>
      <c r="C12" s="223" t="s">
        <v>9</v>
      </c>
      <c r="D12" s="356">
        <v>1469486.9456660824</v>
      </c>
      <c r="E12" s="357">
        <v>936862.80062900099</v>
      </c>
      <c r="F12" s="357">
        <v>530532.09284923703</v>
      </c>
      <c r="G12" s="357">
        <v>0</v>
      </c>
      <c r="H12" s="358">
        <f t="shared" si="1"/>
        <v>0</v>
      </c>
      <c r="I12" s="498">
        <v>1650.8318807896005</v>
      </c>
      <c r="J12" s="357">
        <v>407.71106600000002</v>
      </c>
      <c r="K12" s="357">
        <v>247.11282417301328</v>
      </c>
      <c r="L12" s="357">
        <v>0</v>
      </c>
      <c r="M12" s="358">
        <f t="shared" si="6"/>
        <v>0</v>
      </c>
      <c r="N12" s="359">
        <v>0</v>
      </c>
      <c r="O12" s="360">
        <v>0</v>
      </c>
      <c r="P12" s="360">
        <v>0</v>
      </c>
      <c r="Q12" s="360">
        <v>0</v>
      </c>
      <c r="R12" s="361">
        <v>0</v>
      </c>
      <c r="S12" s="362">
        <v>7.5251892549358795E-2</v>
      </c>
      <c r="T12" s="363">
        <v>0</v>
      </c>
      <c r="U12" s="362">
        <v>0.31333899580726099</v>
      </c>
      <c r="V12" s="363">
        <v>0</v>
      </c>
      <c r="W12" s="359">
        <v>0.60438803412666753</v>
      </c>
      <c r="X12" s="360">
        <v>0</v>
      </c>
      <c r="Y12" s="360">
        <v>0</v>
      </c>
      <c r="Z12" s="360">
        <v>0.60438803412666753</v>
      </c>
      <c r="AA12" s="360">
        <v>0</v>
      </c>
      <c r="AB12" s="360">
        <v>0</v>
      </c>
      <c r="AC12" s="360">
        <v>0</v>
      </c>
      <c r="AD12" s="360">
        <v>0</v>
      </c>
      <c r="AE12" s="361">
        <v>0</v>
      </c>
      <c r="AF12" s="359">
        <v>14.999999999999968</v>
      </c>
      <c r="AG12" s="360">
        <v>0</v>
      </c>
      <c r="AH12" s="360">
        <v>0</v>
      </c>
      <c r="AI12" s="360">
        <v>0</v>
      </c>
      <c r="AJ12" s="360">
        <v>0</v>
      </c>
      <c r="AK12" s="361">
        <v>0</v>
      </c>
      <c r="AL12" s="228" t="s">
        <v>273</v>
      </c>
      <c r="AM12" s="229" t="s">
        <v>228</v>
      </c>
      <c r="AN12" s="229" t="s">
        <v>276</v>
      </c>
      <c r="AO12" s="229" t="s">
        <v>288</v>
      </c>
      <c r="AP12" s="229" t="s">
        <v>289</v>
      </c>
    </row>
    <row r="13" spans="1:42" ht="12.75" customHeight="1" x14ac:dyDescent="0.15">
      <c r="A13" s="316"/>
      <c r="B13" s="222" t="s">
        <v>290</v>
      </c>
      <c r="C13" s="223" t="s">
        <v>7</v>
      </c>
      <c r="D13" s="356">
        <v>800887.86</v>
      </c>
      <c r="E13" s="357">
        <v>3250249.5690000099</v>
      </c>
      <c r="F13" s="357">
        <v>2722072.29</v>
      </c>
      <c r="G13" s="357">
        <v>0</v>
      </c>
      <c r="H13" s="358">
        <f t="shared" si="1"/>
        <v>0</v>
      </c>
      <c r="I13" s="498">
        <v>1418.08866143508</v>
      </c>
      <c r="J13" s="357">
        <v>3197.799</v>
      </c>
      <c r="K13" s="357">
        <v>2690.42</v>
      </c>
      <c r="L13" s="357">
        <v>0</v>
      </c>
      <c r="M13" s="358">
        <f t="shared" si="6"/>
        <v>0</v>
      </c>
      <c r="N13" s="359">
        <v>0</v>
      </c>
      <c r="O13" s="360">
        <v>0</v>
      </c>
      <c r="P13" s="360">
        <v>0</v>
      </c>
      <c r="Q13" s="360">
        <v>0</v>
      </c>
      <c r="R13" s="361">
        <v>0</v>
      </c>
      <c r="S13" s="362">
        <v>0.94034594573319197</v>
      </c>
      <c r="T13" s="363">
        <v>0</v>
      </c>
      <c r="U13" s="362">
        <v>0.96625658472513798</v>
      </c>
      <c r="V13" s="363">
        <v>0</v>
      </c>
      <c r="W13" s="359">
        <v>0.63441579968749584</v>
      </c>
      <c r="X13" s="360">
        <v>0</v>
      </c>
      <c r="Y13" s="360">
        <v>0</v>
      </c>
      <c r="Z13" s="360">
        <v>0.63441579968749584</v>
      </c>
      <c r="AA13" s="360">
        <v>0</v>
      </c>
      <c r="AB13" s="360">
        <v>0</v>
      </c>
      <c r="AC13" s="360">
        <v>0</v>
      </c>
      <c r="AD13" s="360">
        <v>0</v>
      </c>
      <c r="AE13" s="361">
        <v>0</v>
      </c>
      <c r="AF13" s="359">
        <v>13.99999999999997</v>
      </c>
      <c r="AG13" s="360">
        <v>0</v>
      </c>
      <c r="AH13" s="360">
        <v>0</v>
      </c>
      <c r="AI13" s="360">
        <v>0</v>
      </c>
      <c r="AJ13" s="360">
        <v>0</v>
      </c>
      <c r="AK13" s="361">
        <v>0</v>
      </c>
      <c r="AL13" s="228" t="s">
        <v>283</v>
      </c>
      <c r="AM13" s="229" t="s">
        <v>228</v>
      </c>
      <c r="AN13" s="229" t="s">
        <v>291</v>
      </c>
      <c r="AO13" s="229" t="s">
        <v>280</v>
      </c>
      <c r="AP13" s="229" t="s">
        <v>292</v>
      </c>
    </row>
    <row r="14" spans="1:42" ht="12.75" customHeight="1" x14ac:dyDescent="0.15">
      <c r="A14" s="316"/>
      <c r="B14" s="222" t="s">
        <v>293</v>
      </c>
      <c r="C14" s="223" t="s">
        <v>199</v>
      </c>
      <c r="D14" s="356">
        <v>0</v>
      </c>
      <c r="E14" s="357">
        <v>0</v>
      </c>
      <c r="F14" s="357">
        <v>0</v>
      </c>
      <c r="G14" s="357">
        <v>7964409.7752367798</v>
      </c>
      <c r="H14" s="358">
        <f t="shared" si="1"/>
        <v>5.6886907551336879E-3</v>
      </c>
      <c r="I14" s="498">
        <v>0</v>
      </c>
      <c r="J14" s="357">
        <v>0</v>
      </c>
      <c r="K14" s="357">
        <v>0</v>
      </c>
      <c r="L14" s="357">
        <v>3317.3536955671798</v>
      </c>
      <c r="M14" s="358">
        <f t="shared" si="6"/>
        <v>1.1862539672339424E-2</v>
      </c>
      <c r="N14" s="359">
        <v>0</v>
      </c>
      <c r="O14" s="360">
        <v>0</v>
      </c>
      <c r="P14" s="360">
        <v>0</v>
      </c>
      <c r="Q14" s="360">
        <v>0</v>
      </c>
      <c r="R14" s="361">
        <v>0</v>
      </c>
      <c r="S14" s="362">
        <v>0</v>
      </c>
      <c r="T14" s="363">
        <v>1.6270489035823501</v>
      </c>
      <c r="U14" s="362">
        <v>0</v>
      </c>
      <c r="V14" s="363">
        <v>1.6922230578359201</v>
      </c>
      <c r="W14" s="359">
        <v>0</v>
      </c>
      <c r="X14" s="360">
        <v>0</v>
      </c>
      <c r="Y14" s="360">
        <v>0.82707412562615112</v>
      </c>
      <c r="Z14" s="360">
        <v>0</v>
      </c>
      <c r="AA14" s="360">
        <v>0</v>
      </c>
      <c r="AB14" s="360">
        <v>0.82707412562615112</v>
      </c>
      <c r="AC14" s="360">
        <v>0</v>
      </c>
      <c r="AD14" s="360">
        <v>0</v>
      </c>
      <c r="AE14" s="361">
        <v>0</v>
      </c>
      <c r="AF14" s="359">
        <v>0</v>
      </c>
      <c r="AG14" s="360">
        <v>0</v>
      </c>
      <c r="AH14" s="360">
        <v>6.5620727658439115</v>
      </c>
      <c r="AI14" s="360">
        <v>0</v>
      </c>
      <c r="AJ14" s="360">
        <v>0</v>
      </c>
      <c r="AK14" s="361">
        <v>0</v>
      </c>
      <c r="AL14" s="228" t="s">
        <v>273</v>
      </c>
      <c r="AM14" s="229" t="s">
        <v>228</v>
      </c>
      <c r="AN14" s="229" t="s">
        <v>276</v>
      </c>
      <c r="AO14" s="229" t="s">
        <v>294</v>
      </c>
      <c r="AP14" s="229" t="s">
        <v>295</v>
      </c>
    </row>
    <row r="15" spans="1:42" ht="12.75" customHeight="1" x14ac:dyDescent="0.15">
      <c r="A15" s="316"/>
      <c r="B15" s="236" t="s">
        <v>328</v>
      </c>
      <c r="C15" s="237" t="s">
        <v>329</v>
      </c>
      <c r="D15" s="348">
        <f>SUM(D16:D18)</f>
        <v>222057053.87870434</v>
      </c>
      <c r="E15" s="348">
        <f t="shared" ref="E15:G15" si="7">SUM(E16:E18)</f>
        <v>347466877.78485298</v>
      </c>
      <c r="F15" s="348">
        <f t="shared" si="7"/>
        <v>207674803.18465415</v>
      </c>
      <c r="G15" s="348">
        <f t="shared" si="7"/>
        <v>226616830.55536199</v>
      </c>
      <c r="H15" s="350">
        <f t="shared" si="1"/>
        <v>0.16186423166551084</v>
      </c>
      <c r="I15" s="497">
        <f t="shared" ref="I15" si="8">SUM(I16:I18)</f>
        <v>36575.43615970487</v>
      </c>
      <c r="J15" s="348">
        <f t="shared" ref="J15" si="9">SUM(J16:J18)</f>
        <v>48241.356049938506</v>
      </c>
      <c r="K15" s="348">
        <f t="shared" ref="K15" si="10">SUM(K16:K18)</f>
        <v>30125.964278808537</v>
      </c>
      <c r="L15" s="348">
        <f t="shared" ref="L15" si="11">SUM(L16:L18)</f>
        <v>35148.887590881197</v>
      </c>
      <c r="M15" s="350">
        <f t="shared" si="6"/>
        <v>0.12568906174900316</v>
      </c>
      <c r="N15" s="351">
        <v>0</v>
      </c>
      <c r="O15" s="352">
        <v>0</v>
      </c>
      <c r="P15" s="352">
        <v>0</v>
      </c>
      <c r="Q15" s="352">
        <v>0</v>
      </c>
      <c r="R15" s="353">
        <v>0</v>
      </c>
      <c r="S15" s="354">
        <f>AVERAGE(S17:S18)</f>
        <v>1.8014224241253358</v>
      </c>
      <c r="T15" s="355"/>
      <c r="U15" s="354"/>
      <c r="V15" s="355"/>
      <c r="W15" s="351"/>
      <c r="X15" s="352"/>
      <c r="Y15" s="352"/>
      <c r="Z15" s="352"/>
      <c r="AA15" s="352"/>
      <c r="AB15" s="352"/>
      <c r="AC15" s="352"/>
      <c r="AD15" s="352"/>
      <c r="AE15" s="353"/>
      <c r="AF15" s="351"/>
      <c r="AG15" s="352"/>
      <c r="AH15" s="352"/>
      <c r="AI15" s="352"/>
      <c r="AJ15" s="352"/>
      <c r="AK15" s="353"/>
      <c r="AL15" s="238" t="s">
        <v>330</v>
      </c>
      <c r="AM15" s="239" t="s">
        <v>331</v>
      </c>
      <c r="AN15" s="239"/>
      <c r="AO15" s="239"/>
      <c r="AP15" s="239" t="s">
        <v>313</v>
      </c>
    </row>
    <row r="16" spans="1:42" ht="12.75" customHeight="1" x14ac:dyDescent="0.15">
      <c r="A16" s="316"/>
      <c r="B16" s="222" t="s">
        <v>332</v>
      </c>
      <c r="C16" s="223" t="s">
        <v>71</v>
      </c>
      <c r="D16" s="356">
        <v>0</v>
      </c>
      <c r="E16" s="357">
        <v>0</v>
      </c>
      <c r="F16" s="357">
        <v>0</v>
      </c>
      <c r="G16" s="357">
        <v>0</v>
      </c>
      <c r="H16" s="358">
        <f t="shared" si="1"/>
        <v>0</v>
      </c>
      <c r="I16" s="498">
        <v>0</v>
      </c>
      <c r="J16" s="357">
        <v>0</v>
      </c>
      <c r="K16" s="357">
        <v>0</v>
      </c>
      <c r="L16" s="357">
        <v>0</v>
      </c>
      <c r="M16" s="358">
        <f t="shared" si="6"/>
        <v>0</v>
      </c>
      <c r="N16" s="359">
        <v>0</v>
      </c>
      <c r="O16" s="360">
        <v>0</v>
      </c>
      <c r="P16" s="360">
        <v>0</v>
      </c>
      <c r="Q16" s="360">
        <v>0</v>
      </c>
      <c r="R16" s="361">
        <v>0</v>
      </c>
      <c r="S16" s="362">
        <v>0</v>
      </c>
      <c r="T16" s="363">
        <v>0</v>
      </c>
      <c r="U16" s="362">
        <v>0</v>
      </c>
      <c r="V16" s="363">
        <v>0</v>
      </c>
      <c r="W16" s="359">
        <v>0</v>
      </c>
      <c r="X16" s="360">
        <v>0</v>
      </c>
      <c r="Y16" s="360">
        <v>0</v>
      </c>
      <c r="Z16" s="360">
        <v>0</v>
      </c>
      <c r="AA16" s="360">
        <v>0</v>
      </c>
      <c r="AB16" s="360">
        <v>0</v>
      </c>
      <c r="AC16" s="360">
        <v>0</v>
      </c>
      <c r="AD16" s="360">
        <v>0</v>
      </c>
      <c r="AE16" s="361">
        <v>0</v>
      </c>
      <c r="AF16" s="359">
        <v>0</v>
      </c>
      <c r="AG16" s="360">
        <v>0</v>
      </c>
      <c r="AH16" s="360">
        <v>0</v>
      </c>
      <c r="AI16" s="360">
        <v>0</v>
      </c>
      <c r="AJ16" s="360">
        <v>0</v>
      </c>
      <c r="AK16" s="361">
        <v>0</v>
      </c>
      <c r="AL16" s="228" t="s">
        <v>283</v>
      </c>
      <c r="AM16" s="229" t="s">
        <v>331</v>
      </c>
      <c r="AN16" s="229" t="s">
        <v>291</v>
      </c>
      <c r="AO16" s="229" t="s">
        <v>277</v>
      </c>
      <c r="AP16" s="229" t="s">
        <v>313</v>
      </c>
    </row>
    <row r="17" spans="1:42" ht="12.75" customHeight="1" x14ac:dyDescent="0.15">
      <c r="A17" s="316"/>
      <c r="B17" s="222" t="s">
        <v>333</v>
      </c>
      <c r="C17" s="223" t="s">
        <v>334</v>
      </c>
      <c r="D17" s="356">
        <v>20022094.435077991</v>
      </c>
      <c r="E17" s="357">
        <v>159855.37838000001</v>
      </c>
      <c r="F17" s="357">
        <v>0</v>
      </c>
      <c r="G17" s="357">
        <v>0</v>
      </c>
      <c r="H17" s="358">
        <f t="shared" si="1"/>
        <v>0</v>
      </c>
      <c r="I17" s="498">
        <v>4549.7399260000011</v>
      </c>
      <c r="J17" s="357">
        <v>35.457216000000003</v>
      </c>
      <c r="K17" s="357">
        <v>0</v>
      </c>
      <c r="L17" s="357">
        <v>0</v>
      </c>
      <c r="M17" s="358">
        <f t="shared" si="6"/>
        <v>0</v>
      </c>
      <c r="N17" s="359">
        <v>0</v>
      </c>
      <c r="O17" s="360">
        <v>0</v>
      </c>
      <c r="P17" s="360">
        <v>0</v>
      </c>
      <c r="Q17" s="360">
        <v>0</v>
      </c>
      <c r="R17" s="361">
        <v>0</v>
      </c>
      <c r="S17" s="362">
        <v>8.6272480989171701E-2</v>
      </c>
      <c r="T17" s="363">
        <v>0</v>
      </c>
      <c r="U17" s="362">
        <v>8.8083555296802202E-2</v>
      </c>
      <c r="V17" s="363">
        <v>0</v>
      </c>
      <c r="W17" s="359">
        <v>0.66749430985926006</v>
      </c>
      <c r="X17" s="360">
        <v>0</v>
      </c>
      <c r="Y17" s="360">
        <v>0</v>
      </c>
      <c r="Z17" s="360">
        <v>0.66749430985926006</v>
      </c>
      <c r="AA17" s="360">
        <v>0</v>
      </c>
      <c r="AB17" s="360">
        <v>0</v>
      </c>
      <c r="AC17" s="360">
        <v>0</v>
      </c>
      <c r="AD17" s="360">
        <v>0</v>
      </c>
      <c r="AE17" s="361">
        <v>0</v>
      </c>
      <c r="AF17" s="359">
        <v>6.6121855397944032</v>
      </c>
      <c r="AG17" s="360">
        <v>0</v>
      </c>
      <c r="AH17" s="360">
        <v>0</v>
      </c>
      <c r="AI17" s="360">
        <v>0</v>
      </c>
      <c r="AJ17" s="360">
        <v>0</v>
      </c>
      <c r="AK17" s="361">
        <v>0</v>
      </c>
      <c r="AL17" s="228" t="s">
        <v>273</v>
      </c>
      <c r="AM17" s="229" t="s">
        <v>331</v>
      </c>
      <c r="AN17" s="229" t="s">
        <v>276</v>
      </c>
      <c r="AO17" s="229" t="s">
        <v>288</v>
      </c>
      <c r="AP17" s="229" t="s">
        <v>313</v>
      </c>
    </row>
    <row r="18" spans="1:42" ht="12.75" customHeight="1" x14ac:dyDescent="0.15">
      <c r="A18" s="316"/>
      <c r="B18" s="222" t="s">
        <v>335</v>
      </c>
      <c r="C18" s="223" t="s">
        <v>5</v>
      </c>
      <c r="D18" s="356">
        <v>202034959.44362634</v>
      </c>
      <c r="E18" s="357">
        <v>347307022.40647298</v>
      </c>
      <c r="F18" s="357">
        <v>207674803.18465415</v>
      </c>
      <c r="G18" s="357">
        <v>226616830.55536199</v>
      </c>
      <c r="H18" s="358">
        <f t="shared" si="1"/>
        <v>0.16186423166551084</v>
      </c>
      <c r="I18" s="498">
        <v>32025.696233704872</v>
      </c>
      <c r="J18" s="357">
        <v>48205.898833938503</v>
      </c>
      <c r="K18" s="357">
        <v>30125.964278808537</v>
      </c>
      <c r="L18" s="357">
        <v>35148.887590881197</v>
      </c>
      <c r="M18" s="358">
        <f t="shared" si="6"/>
        <v>0.12568906174900316</v>
      </c>
      <c r="N18" s="359">
        <v>0</v>
      </c>
      <c r="O18" s="360">
        <v>0</v>
      </c>
      <c r="P18" s="360">
        <v>0</v>
      </c>
      <c r="Q18" s="360">
        <v>0</v>
      </c>
      <c r="R18" s="361">
        <v>0</v>
      </c>
      <c r="S18" s="363">
        <v>3.5165723672614999</v>
      </c>
      <c r="T18" s="363">
        <v>1.20680430400195</v>
      </c>
      <c r="U18" s="362">
        <v>4.8020462890275297</v>
      </c>
      <c r="V18" s="363">
        <v>1.6923907967727001</v>
      </c>
      <c r="W18" s="359">
        <v>0.61956057990413549</v>
      </c>
      <c r="X18" s="360">
        <v>0</v>
      </c>
      <c r="Y18" s="360">
        <v>0.59874226987588386</v>
      </c>
      <c r="Z18" s="360">
        <v>0.61956057990413549</v>
      </c>
      <c r="AA18" s="360">
        <v>0</v>
      </c>
      <c r="AB18" s="360">
        <v>0.59874226987588386</v>
      </c>
      <c r="AC18" s="360">
        <v>0</v>
      </c>
      <c r="AD18" s="360">
        <v>0</v>
      </c>
      <c r="AE18" s="361">
        <v>0</v>
      </c>
      <c r="AF18" s="359">
        <v>8.423563569744255</v>
      </c>
      <c r="AG18" s="360">
        <v>0</v>
      </c>
      <c r="AH18" s="360">
        <v>6.8850064611093096</v>
      </c>
      <c r="AI18" s="360">
        <v>0</v>
      </c>
      <c r="AJ18" s="360">
        <v>0</v>
      </c>
      <c r="AK18" s="361">
        <v>0</v>
      </c>
      <c r="AL18" s="228" t="s">
        <v>273</v>
      </c>
      <c r="AM18" s="229" t="s">
        <v>331</v>
      </c>
      <c r="AN18" s="229" t="s">
        <v>276</v>
      </c>
      <c r="AO18" s="229" t="s">
        <v>277</v>
      </c>
      <c r="AP18" s="229" t="s">
        <v>313</v>
      </c>
    </row>
    <row r="19" spans="1:42" ht="12.75" customHeight="1" x14ac:dyDescent="0.15">
      <c r="A19" s="385"/>
      <c r="B19" s="250"/>
      <c r="C19" s="237" t="s">
        <v>411</v>
      </c>
      <c r="D19" s="348">
        <f>SUM(D20)</f>
        <v>1618449.6986447377</v>
      </c>
      <c r="E19" s="348">
        <f t="shared" ref="E19:G19" si="12">SUM(E20)</f>
        <v>10454636.447141301</v>
      </c>
      <c r="F19" s="348">
        <f t="shared" si="12"/>
        <v>11811728</v>
      </c>
      <c r="G19" s="348">
        <f t="shared" si="12"/>
        <v>10478743.269425901</v>
      </c>
      <c r="H19" s="350">
        <f t="shared" si="1"/>
        <v>7.4845885187305398E-3</v>
      </c>
      <c r="I19" s="497">
        <f t="shared" ref="I19" si="13">SUM(I20)</f>
        <v>434.25376693175002</v>
      </c>
      <c r="J19" s="348">
        <f t="shared" ref="J19" si="14">SUM(J20)</f>
        <v>8279.8973629678803</v>
      </c>
      <c r="K19" s="348">
        <f t="shared" ref="K19" si="15">SUM(K20)</f>
        <v>5160</v>
      </c>
      <c r="L19" s="348">
        <f t="shared" ref="L19" si="16">SUM(L20)</f>
        <v>4543.0079784068903</v>
      </c>
      <c r="M19" s="350">
        <f t="shared" si="6"/>
        <v>1.6245362213748577E-2</v>
      </c>
      <c r="N19" s="351">
        <v>0</v>
      </c>
      <c r="O19" s="352">
        <v>0</v>
      </c>
      <c r="P19" s="352">
        <v>0</v>
      </c>
      <c r="Q19" s="352">
        <v>0</v>
      </c>
      <c r="R19" s="353">
        <v>0</v>
      </c>
      <c r="S19" s="354">
        <f>AVERAGE(S20)</f>
        <v>2.4598940800739699</v>
      </c>
      <c r="T19" s="355"/>
      <c r="U19" s="354"/>
      <c r="V19" s="355"/>
      <c r="W19" s="351"/>
      <c r="X19" s="352"/>
      <c r="Y19" s="352"/>
      <c r="Z19" s="352"/>
      <c r="AA19" s="352"/>
      <c r="AB19" s="352"/>
      <c r="AC19" s="352"/>
      <c r="AD19" s="352"/>
      <c r="AE19" s="353"/>
      <c r="AF19" s="351"/>
      <c r="AG19" s="352"/>
      <c r="AH19" s="352"/>
      <c r="AI19" s="352"/>
      <c r="AJ19" s="352"/>
      <c r="AK19" s="353"/>
      <c r="AL19" s="238"/>
      <c r="AM19" s="239"/>
      <c r="AN19" s="249"/>
      <c r="AO19" s="249"/>
      <c r="AP19" s="239"/>
    </row>
    <row r="20" spans="1:42" ht="12.75" customHeight="1" x14ac:dyDescent="0.15">
      <c r="A20" s="385"/>
      <c r="B20" s="251" t="s">
        <v>412</v>
      </c>
      <c r="C20" s="241" t="s">
        <v>4</v>
      </c>
      <c r="D20" s="380">
        <v>1618449.6986447377</v>
      </c>
      <c r="E20" s="381">
        <v>10454636.447141301</v>
      </c>
      <c r="F20" s="381">
        <v>11811728</v>
      </c>
      <c r="G20" s="381">
        <v>10478743.269425901</v>
      </c>
      <c r="H20" s="358">
        <f t="shared" si="1"/>
        <v>7.4845885187305398E-3</v>
      </c>
      <c r="I20" s="499">
        <v>434.25376693175002</v>
      </c>
      <c r="J20" s="381">
        <v>8279.8973629678803</v>
      </c>
      <c r="K20" s="381">
        <v>5160</v>
      </c>
      <c r="L20" s="381">
        <v>4543.0079784068903</v>
      </c>
      <c r="M20" s="358">
        <f t="shared" si="6"/>
        <v>1.6245362213748577E-2</v>
      </c>
      <c r="N20" s="382">
        <v>0</v>
      </c>
      <c r="O20" s="383">
        <v>0</v>
      </c>
      <c r="P20" s="383">
        <v>0</v>
      </c>
      <c r="Q20" s="383">
        <v>0</v>
      </c>
      <c r="R20" s="384">
        <v>0</v>
      </c>
      <c r="S20" s="362">
        <v>2.4598940800739699</v>
      </c>
      <c r="T20" s="363">
        <v>1.80150150352323</v>
      </c>
      <c r="U20" s="362">
        <v>2.6111480664793398</v>
      </c>
      <c r="V20" s="363">
        <v>1.8800966823118099</v>
      </c>
      <c r="W20" s="359">
        <v>0.72640195612627401</v>
      </c>
      <c r="X20" s="383">
        <v>0</v>
      </c>
      <c r="Y20" s="360">
        <v>0.9000000000000028</v>
      </c>
      <c r="Z20" s="383">
        <v>0.72640195612627401</v>
      </c>
      <c r="AA20" s="383">
        <v>0</v>
      </c>
      <c r="AB20" s="360">
        <v>0.9000000000000028</v>
      </c>
      <c r="AC20" s="383">
        <v>0</v>
      </c>
      <c r="AD20" s="383">
        <v>0</v>
      </c>
      <c r="AE20" s="384">
        <v>0</v>
      </c>
      <c r="AF20" s="359">
        <v>8.7601973948327707</v>
      </c>
      <c r="AG20" s="383">
        <v>0</v>
      </c>
      <c r="AH20" s="360">
        <v>6.4382512549327862</v>
      </c>
      <c r="AI20" s="383">
        <v>0</v>
      </c>
      <c r="AJ20" s="383">
        <v>0</v>
      </c>
      <c r="AK20" s="384">
        <v>0</v>
      </c>
      <c r="AL20" s="252" t="s">
        <v>373</v>
      </c>
      <c r="AM20" s="253" t="s">
        <v>228</v>
      </c>
      <c r="AN20" s="253" t="s">
        <v>276</v>
      </c>
      <c r="AO20" s="253" t="s">
        <v>277</v>
      </c>
      <c r="AP20" s="253" t="s">
        <v>413</v>
      </c>
    </row>
    <row r="21" spans="1:42" ht="12.75" customHeight="1" x14ac:dyDescent="0.15">
      <c r="A21" s="385"/>
      <c r="B21" s="222"/>
      <c r="C21" s="237" t="s">
        <v>437</v>
      </c>
      <c r="D21" s="348">
        <f>SUM(D22)</f>
        <v>0</v>
      </c>
      <c r="E21" s="348">
        <f t="shared" ref="E21:G21" si="17">SUM(E22)</f>
        <v>0</v>
      </c>
      <c r="F21" s="348">
        <f t="shared" si="17"/>
        <v>0</v>
      </c>
      <c r="G21" s="348">
        <f t="shared" si="17"/>
        <v>0</v>
      </c>
      <c r="H21" s="350">
        <f t="shared" si="1"/>
        <v>0</v>
      </c>
      <c r="I21" s="497">
        <f t="shared" ref="I21" si="18">SUM(I22)</f>
        <v>0</v>
      </c>
      <c r="J21" s="348">
        <f t="shared" ref="J21" si="19">SUM(J22)</f>
        <v>0</v>
      </c>
      <c r="K21" s="348">
        <f t="shared" ref="K21" si="20">SUM(K22)</f>
        <v>0</v>
      </c>
      <c r="L21" s="348">
        <f t="shared" ref="L21" si="21">SUM(L22)</f>
        <v>0</v>
      </c>
      <c r="M21" s="350">
        <f t="shared" si="6"/>
        <v>0</v>
      </c>
      <c r="N21" s="351">
        <v>0</v>
      </c>
      <c r="O21" s="352">
        <v>0</v>
      </c>
      <c r="P21" s="352">
        <v>0</v>
      </c>
      <c r="Q21" s="352">
        <v>0</v>
      </c>
      <c r="R21" s="353">
        <v>0</v>
      </c>
      <c r="S21" s="354"/>
      <c r="T21" s="355"/>
      <c r="U21" s="354"/>
      <c r="V21" s="355"/>
      <c r="W21" s="351"/>
      <c r="X21" s="352"/>
      <c r="Y21" s="352"/>
      <c r="Z21" s="352"/>
      <c r="AA21" s="352"/>
      <c r="AB21" s="352"/>
      <c r="AC21" s="352"/>
      <c r="AD21" s="352"/>
      <c r="AE21" s="353"/>
      <c r="AF21" s="351"/>
      <c r="AG21" s="352"/>
      <c r="AH21" s="352"/>
      <c r="AI21" s="352"/>
      <c r="AJ21" s="352"/>
      <c r="AK21" s="353"/>
      <c r="AL21" s="238"/>
      <c r="AM21" s="239"/>
      <c r="AN21" s="249"/>
      <c r="AO21" s="249"/>
      <c r="AP21" s="239"/>
    </row>
    <row r="22" spans="1:42" ht="12.75" customHeight="1" x14ac:dyDescent="0.15">
      <c r="A22" s="385"/>
      <c r="B22" s="251" t="s">
        <v>438</v>
      </c>
      <c r="C22" s="241" t="s">
        <v>87</v>
      </c>
      <c r="D22" s="380">
        <v>0</v>
      </c>
      <c r="E22" s="381">
        <v>0</v>
      </c>
      <c r="F22" s="381">
        <v>0</v>
      </c>
      <c r="G22" s="381">
        <v>0</v>
      </c>
      <c r="H22" s="358">
        <f t="shared" si="1"/>
        <v>0</v>
      </c>
      <c r="I22" s="499">
        <v>0</v>
      </c>
      <c r="J22" s="381">
        <v>0</v>
      </c>
      <c r="K22" s="381">
        <v>0</v>
      </c>
      <c r="L22" s="381">
        <v>0</v>
      </c>
      <c r="M22" s="358">
        <f t="shared" si="6"/>
        <v>0</v>
      </c>
      <c r="N22" s="382">
        <v>0</v>
      </c>
      <c r="O22" s="383">
        <v>0</v>
      </c>
      <c r="P22" s="383">
        <v>0</v>
      </c>
      <c r="Q22" s="383">
        <v>0</v>
      </c>
      <c r="R22" s="384">
        <v>0</v>
      </c>
      <c r="S22" s="362">
        <v>0</v>
      </c>
      <c r="T22" s="363">
        <v>0</v>
      </c>
      <c r="U22" s="362">
        <v>0</v>
      </c>
      <c r="V22" s="363">
        <v>0</v>
      </c>
      <c r="W22" s="382">
        <v>0</v>
      </c>
      <c r="X22" s="383">
        <v>0</v>
      </c>
      <c r="Y22" s="383">
        <v>0</v>
      </c>
      <c r="Z22" s="383">
        <v>0</v>
      </c>
      <c r="AA22" s="383">
        <v>0</v>
      </c>
      <c r="AB22" s="360">
        <v>0</v>
      </c>
      <c r="AC22" s="383">
        <v>0</v>
      </c>
      <c r="AD22" s="383">
        <v>0</v>
      </c>
      <c r="AE22" s="384">
        <v>0</v>
      </c>
      <c r="AF22" s="382">
        <v>0</v>
      </c>
      <c r="AG22" s="383">
        <v>0</v>
      </c>
      <c r="AH22" s="383">
        <v>0</v>
      </c>
      <c r="AI22" s="383">
        <v>0</v>
      </c>
      <c r="AJ22" s="383">
        <v>0</v>
      </c>
      <c r="AK22" s="384">
        <v>0</v>
      </c>
      <c r="AL22" s="252" t="s">
        <v>373</v>
      </c>
      <c r="AM22" s="253" t="s">
        <v>331</v>
      </c>
      <c r="AN22" s="253" t="s">
        <v>291</v>
      </c>
      <c r="AO22" s="253" t="s">
        <v>288</v>
      </c>
      <c r="AP22" s="253" t="s">
        <v>292</v>
      </c>
    </row>
    <row r="23" spans="1:42" ht="12.75" customHeight="1" x14ac:dyDescent="0.15">
      <c r="A23" s="316"/>
      <c r="B23" s="236" t="s">
        <v>296</v>
      </c>
      <c r="C23" s="237" t="s">
        <v>297</v>
      </c>
      <c r="D23" s="348">
        <f>SUM(D24:D33)</f>
        <v>235981276.6185821</v>
      </c>
      <c r="E23" s="348">
        <f t="shared" ref="E23:G23" si="22">SUM(E24:E33)</f>
        <v>261857322.2115773</v>
      </c>
      <c r="F23" s="348">
        <f t="shared" si="22"/>
        <v>230171380.93871599</v>
      </c>
      <c r="G23" s="348">
        <f t="shared" si="22"/>
        <v>232625002.15088359</v>
      </c>
      <c r="H23" s="350">
        <f t="shared" si="1"/>
        <v>0.16615565201871391</v>
      </c>
      <c r="I23" s="497">
        <f t="shared" ref="I23" si="23">SUM(I24:I33)</f>
        <v>47841.122624197873</v>
      </c>
      <c r="J23" s="348">
        <f t="shared" ref="J23" si="24">SUM(J24:J33)</f>
        <v>49472.130980142814</v>
      </c>
      <c r="K23" s="348">
        <f t="shared" ref="K23" si="25">SUM(K24:K33)</f>
        <v>49803.388094575246</v>
      </c>
      <c r="L23" s="348">
        <f t="shared" ref="L23" si="26">SUM(L24:L33)</f>
        <v>49816.619033709561</v>
      </c>
      <c r="M23" s="350">
        <f t="shared" si="6"/>
        <v>0.17813946713576523</v>
      </c>
      <c r="N23" s="364">
        <v>0</v>
      </c>
      <c r="O23" s="365">
        <v>0</v>
      </c>
      <c r="P23" s="365">
        <v>0</v>
      </c>
      <c r="Q23" s="365">
        <v>0</v>
      </c>
      <c r="R23" s="366">
        <v>0</v>
      </c>
      <c r="S23" s="354">
        <f>AVERAGE(S25:S27,S29:S30,S32)</f>
        <v>1.2252098390888053</v>
      </c>
      <c r="T23" s="368"/>
      <c r="U23" s="367"/>
      <c r="V23" s="368"/>
      <c r="W23" s="364"/>
      <c r="X23" s="365"/>
      <c r="Y23" s="365"/>
      <c r="Z23" s="365"/>
      <c r="AA23" s="365"/>
      <c r="AB23" s="365"/>
      <c r="AC23" s="365"/>
      <c r="AD23" s="365"/>
      <c r="AE23" s="366"/>
      <c r="AF23" s="364"/>
      <c r="AG23" s="365"/>
      <c r="AH23" s="365"/>
      <c r="AI23" s="365"/>
      <c r="AJ23" s="365"/>
      <c r="AK23" s="366"/>
      <c r="AL23" s="238" t="s">
        <v>273</v>
      </c>
      <c r="AM23" s="239" t="s">
        <v>229</v>
      </c>
      <c r="AN23" s="239"/>
      <c r="AO23" s="239"/>
      <c r="AP23" s="239" t="s">
        <v>298</v>
      </c>
    </row>
    <row r="24" spans="1:42" ht="12.75" customHeight="1" x14ac:dyDescent="0.15">
      <c r="A24" s="316"/>
      <c r="B24" s="222" t="s">
        <v>299</v>
      </c>
      <c r="C24" s="241" t="s">
        <v>76</v>
      </c>
      <c r="D24" s="356">
        <v>0</v>
      </c>
      <c r="E24" s="357">
        <v>0</v>
      </c>
      <c r="F24" s="357">
        <v>0</v>
      </c>
      <c r="G24" s="357">
        <v>0</v>
      </c>
      <c r="H24" s="358">
        <f t="shared" si="1"/>
        <v>0</v>
      </c>
      <c r="I24" s="498">
        <v>0</v>
      </c>
      <c r="J24" s="357">
        <v>0</v>
      </c>
      <c r="K24" s="357">
        <v>0</v>
      </c>
      <c r="L24" s="357">
        <v>0</v>
      </c>
      <c r="M24" s="358">
        <f t="shared" si="6"/>
        <v>0</v>
      </c>
      <c r="N24" s="359">
        <v>0</v>
      </c>
      <c r="O24" s="360">
        <v>0</v>
      </c>
      <c r="P24" s="360">
        <v>0</v>
      </c>
      <c r="Q24" s="360">
        <v>0</v>
      </c>
      <c r="R24" s="361">
        <v>0</v>
      </c>
      <c r="S24" s="362">
        <v>0</v>
      </c>
      <c r="T24" s="363">
        <v>0</v>
      </c>
      <c r="U24" s="362">
        <v>0</v>
      </c>
      <c r="V24" s="363">
        <v>0</v>
      </c>
      <c r="W24" s="359">
        <v>0</v>
      </c>
      <c r="X24" s="360">
        <v>0</v>
      </c>
      <c r="Y24" s="360">
        <v>0</v>
      </c>
      <c r="Z24" s="360">
        <v>0</v>
      </c>
      <c r="AA24" s="360">
        <v>0</v>
      </c>
      <c r="AB24" s="360">
        <v>0</v>
      </c>
      <c r="AC24" s="360">
        <v>0</v>
      </c>
      <c r="AD24" s="360">
        <v>0</v>
      </c>
      <c r="AE24" s="361">
        <v>0</v>
      </c>
      <c r="AF24" s="359">
        <v>0</v>
      </c>
      <c r="AG24" s="360">
        <v>0</v>
      </c>
      <c r="AH24" s="360">
        <v>0</v>
      </c>
      <c r="AI24" s="360">
        <v>0</v>
      </c>
      <c r="AJ24" s="360">
        <v>0</v>
      </c>
      <c r="AK24" s="361">
        <v>0</v>
      </c>
      <c r="AL24" s="228" t="s">
        <v>273</v>
      </c>
      <c r="AM24" s="229" t="s">
        <v>229</v>
      </c>
      <c r="AN24" s="229" t="s">
        <v>291</v>
      </c>
      <c r="AO24" s="229" t="s">
        <v>277</v>
      </c>
      <c r="AP24" s="229" t="s">
        <v>278</v>
      </c>
    </row>
    <row r="25" spans="1:42" ht="12.75" customHeight="1" x14ac:dyDescent="0.15">
      <c r="A25" s="316"/>
      <c r="B25" s="222" t="s">
        <v>300</v>
      </c>
      <c r="C25" s="241" t="s">
        <v>301</v>
      </c>
      <c r="D25" s="356">
        <v>31016698.866579466</v>
      </c>
      <c r="E25" s="357">
        <v>51064570.674000204</v>
      </c>
      <c r="F25" s="357">
        <v>42009076.245999999</v>
      </c>
      <c r="G25" s="357">
        <v>41102750.570637502</v>
      </c>
      <c r="H25" s="358">
        <f t="shared" si="1"/>
        <v>2.9358212821840906E-2</v>
      </c>
      <c r="I25" s="498">
        <v>4545.1286517289482</v>
      </c>
      <c r="J25" s="357">
        <v>4708.1048441596404</v>
      </c>
      <c r="K25" s="357">
        <v>4919.5159999999996</v>
      </c>
      <c r="L25" s="357">
        <v>4133.4176803379196</v>
      </c>
      <c r="M25" s="358">
        <f t="shared" si="6"/>
        <v>1.4780706465179755E-2</v>
      </c>
      <c r="N25" s="359">
        <v>0</v>
      </c>
      <c r="O25" s="360">
        <v>0</v>
      </c>
      <c r="P25" s="360">
        <v>0</v>
      </c>
      <c r="Q25" s="360">
        <v>0</v>
      </c>
      <c r="R25" s="361">
        <v>0</v>
      </c>
      <c r="S25" s="362">
        <v>0.92955417257024098</v>
      </c>
      <c r="T25" s="363">
        <v>2.3873330670694499</v>
      </c>
      <c r="U25" s="362">
        <v>3.1154135983226201</v>
      </c>
      <c r="V25" s="363">
        <v>6.5619154246986602</v>
      </c>
      <c r="W25" s="359">
        <v>0.84859253097007115</v>
      </c>
      <c r="X25" s="360">
        <v>0</v>
      </c>
      <c r="Y25" s="360">
        <v>0.82810470788765467</v>
      </c>
      <c r="Z25" s="360">
        <v>0.84859253097007115</v>
      </c>
      <c r="AA25" s="360">
        <v>0</v>
      </c>
      <c r="AB25" s="360">
        <v>0.82810470788765467</v>
      </c>
      <c r="AC25" s="360">
        <v>0</v>
      </c>
      <c r="AD25" s="360">
        <v>0</v>
      </c>
      <c r="AE25" s="361">
        <v>0</v>
      </c>
      <c r="AF25" s="359">
        <v>10.170490330692868</v>
      </c>
      <c r="AG25" s="360">
        <v>0</v>
      </c>
      <c r="AH25" s="360">
        <v>11.163756696367328</v>
      </c>
      <c r="AI25" s="360">
        <v>0</v>
      </c>
      <c r="AJ25" s="360">
        <v>0</v>
      </c>
      <c r="AK25" s="361">
        <v>0</v>
      </c>
      <c r="AL25" s="228" t="s">
        <v>273</v>
      </c>
      <c r="AM25" s="229" t="s">
        <v>229</v>
      </c>
      <c r="AN25" s="229" t="s">
        <v>276</v>
      </c>
      <c r="AO25" s="229" t="s">
        <v>277</v>
      </c>
      <c r="AP25" s="229" t="s">
        <v>302</v>
      </c>
    </row>
    <row r="26" spans="1:42" ht="12.75" customHeight="1" x14ac:dyDescent="0.15">
      <c r="A26" s="316"/>
      <c r="B26" s="222" t="s">
        <v>303</v>
      </c>
      <c r="C26" s="241" t="s">
        <v>15</v>
      </c>
      <c r="D26" s="356">
        <v>45490371.632989138</v>
      </c>
      <c r="E26" s="357">
        <v>98927183.563079104</v>
      </c>
      <c r="F26" s="357">
        <v>25325968.7658922</v>
      </c>
      <c r="G26" s="357">
        <v>27967440.8711266</v>
      </c>
      <c r="H26" s="358">
        <f t="shared" si="1"/>
        <v>1.9976134681442353E-2</v>
      </c>
      <c r="I26" s="498">
        <v>8309.5119772639027</v>
      </c>
      <c r="J26" s="357">
        <v>16951.0575518039</v>
      </c>
      <c r="K26" s="357">
        <v>4343.0298500899999</v>
      </c>
      <c r="L26" s="357">
        <v>4427.0780132426298</v>
      </c>
      <c r="M26" s="358">
        <f t="shared" si="6"/>
        <v>1.5830807741365482E-2</v>
      </c>
      <c r="N26" s="359">
        <v>0</v>
      </c>
      <c r="O26" s="360">
        <v>0</v>
      </c>
      <c r="P26" s="360">
        <v>0</v>
      </c>
      <c r="Q26" s="360">
        <v>0</v>
      </c>
      <c r="R26" s="361">
        <v>0</v>
      </c>
      <c r="S26" s="362">
        <v>1.44462699500208</v>
      </c>
      <c r="T26" s="363">
        <v>2.8056862645191099</v>
      </c>
      <c r="U26" s="362">
        <v>2.5904370759897999</v>
      </c>
      <c r="V26" s="363">
        <v>3.5734918691163999</v>
      </c>
      <c r="W26" s="359">
        <v>0.67738370929521852</v>
      </c>
      <c r="X26" s="360">
        <v>0</v>
      </c>
      <c r="Y26" s="360">
        <v>0.66040871080048102</v>
      </c>
      <c r="Z26" s="360">
        <v>0.67738370929521852</v>
      </c>
      <c r="AA26" s="360">
        <v>0</v>
      </c>
      <c r="AB26" s="360">
        <v>0.66040871080048102</v>
      </c>
      <c r="AC26" s="360">
        <v>0</v>
      </c>
      <c r="AD26" s="360">
        <v>0</v>
      </c>
      <c r="AE26" s="361">
        <v>0</v>
      </c>
      <c r="AF26" s="359">
        <v>9.4283744612180378</v>
      </c>
      <c r="AG26" s="360">
        <v>0</v>
      </c>
      <c r="AH26" s="360">
        <v>12.482975934265287</v>
      </c>
      <c r="AI26" s="360">
        <v>0</v>
      </c>
      <c r="AJ26" s="360">
        <v>0</v>
      </c>
      <c r="AK26" s="361">
        <v>0</v>
      </c>
      <c r="AL26" s="228" t="s">
        <v>283</v>
      </c>
      <c r="AM26" s="229" t="s">
        <v>229</v>
      </c>
      <c r="AN26" s="229" t="s">
        <v>276</v>
      </c>
      <c r="AO26" s="229" t="s">
        <v>277</v>
      </c>
      <c r="AP26" s="229" t="s">
        <v>304</v>
      </c>
    </row>
    <row r="27" spans="1:42" ht="12.75" customHeight="1" x14ac:dyDescent="0.15">
      <c r="A27" s="316"/>
      <c r="B27" s="222" t="s">
        <v>305</v>
      </c>
      <c r="C27" s="241" t="s">
        <v>37</v>
      </c>
      <c r="D27" s="356">
        <v>31696025.478649292</v>
      </c>
      <c r="E27" s="357">
        <v>26971887.102921199</v>
      </c>
      <c r="F27" s="357">
        <v>46466195.440416701</v>
      </c>
      <c r="G27" s="357">
        <v>38201472.706009001</v>
      </c>
      <c r="H27" s="358">
        <f t="shared" si="1"/>
        <v>2.7285934645258074E-2</v>
      </c>
      <c r="I27" s="498">
        <v>8038.2477022455278</v>
      </c>
      <c r="J27" s="357">
        <v>6729.6719563933502</v>
      </c>
      <c r="K27" s="357">
        <v>11488.808550380349</v>
      </c>
      <c r="L27" s="357">
        <v>11372.823383999999</v>
      </c>
      <c r="M27" s="358">
        <f t="shared" si="6"/>
        <v>4.0668129165570742E-2</v>
      </c>
      <c r="N27" s="359">
        <v>0</v>
      </c>
      <c r="O27" s="360">
        <v>0</v>
      </c>
      <c r="P27" s="360">
        <v>0</v>
      </c>
      <c r="Q27" s="360">
        <v>0</v>
      </c>
      <c r="R27" s="361">
        <v>0</v>
      </c>
      <c r="S27" s="362">
        <v>1.0061280392657399</v>
      </c>
      <c r="T27" s="363">
        <v>1.4616131232984699</v>
      </c>
      <c r="U27" s="362">
        <v>1.04756890983874</v>
      </c>
      <c r="V27" s="363">
        <v>1.5208460576034</v>
      </c>
      <c r="W27" s="359">
        <v>0.65528834141356285</v>
      </c>
      <c r="X27" s="360">
        <v>0</v>
      </c>
      <c r="Y27" s="360">
        <v>0.65000002384185696</v>
      </c>
      <c r="Z27" s="360">
        <v>0.65528834141356285</v>
      </c>
      <c r="AA27" s="360">
        <v>0</v>
      </c>
      <c r="AB27" s="360">
        <v>0.65000002384185696</v>
      </c>
      <c r="AC27" s="360">
        <v>0</v>
      </c>
      <c r="AD27" s="360">
        <v>0</v>
      </c>
      <c r="AE27" s="361">
        <v>0</v>
      </c>
      <c r="AF27" s="359">
        <v>10.530970243752158</v>
      </c>
      <c r="AG27" s="360">
        <v>0</v>
      </c>
      <c r="AH27" s="360">
        <v>9.6935519195372652</v>
      </c>
      <c r="AI27" s="360">
        <v>0</v>
      </c>
      <c r="AJ27" s="360">
        <v>0</v>
      </c>
      <c r="AK27" s="361">
        <v>0</v>
      </c>
      <c r="AL27" s="228" t="s">
        <v>273</v>
      </c>
      <c r="AM27" s="229" t="s">
        <v>229</v>
      </c>
      <c r="AN27" s="229" t="s">
        <v>276</v>
      </c>
      <c r="AO27" s="229" t="s">
        <v>277</v>
      </c>
      <c r="AP27" s="229" t="s">
        <v>295</v>
      </c>
    </row>
    <row r="28" spans="1:42" ht="12.75" customHeight="1" x14ac:dyDescent="0.15">
      <c r="A28" s="316"/>
      <c r="B28" s="222" t="s">
        <v>306</v>
      </c>
      <c r="C28" s="241" t="s">
        <v>307</v>
      </c>
      <c r="D28" s="356">
        <v>0</v>
      </c>
      <c r="E28" s="357">
        <v>0</v>
      </c>
      <c r="F28" s="357">
        <v>0</v>
      </c>
      <c r="G28" s="357">
        <v>0</v>
      </c>
      <c r="H28" s="358">
        <f t="shared" si="1"/>
        <v>0</v>
      </c>
      <c r="I28" s="498">
        <v>0</v>
      </c>
      <c r="J28" s="357">
        <v>0</v>
      </c>
      <c r="K28" s="357">
        <v>0</v>
      </c>
      <c r="L28" s="357">
        <v>0</v>
      </c>
      <c r="M28" s="358">
        <f t="shared" si="6"/>
        <v>0</v>
      </c>
      <c r="N28" s="359">
        <v>0</v>
      </c>
      <c r="O28" s="360">
        <v>0</v>
      </c>
      <c r="P28" s="360">
        <v>0</v>
      </c>
      <c r="Q28" s="360">
        <v>0</v>
      </c>
      <c r="R28" s="361">
        <v>0</v>
      </c>
      <c r="S28" s="362">
        <v>0</v>
      </c>
      <c r="T28" s="363">
        <v>0</v>
      </c>
      <c r="U28" s="362">
        <v>0</v>
      </c>
      <c r="V28" s="363">
        <v>0</v>
      </c>
      <c r="W28" s="359">
        <v>0</v>
      </c>
      <c r="X28" s="360">
        <v>0</v>
      </c>
      <c r="Y28" s="360">
        <v>0</v>
      </c>
      <c r="Z28" s="360">
        <v>0</v>
      </c>
      <c r="AA28" s="360">
        <v>0</v>
      </c>
      <c r="AB28" s="360">
        <v>0</v>
      </c>
      <c r="AC28" s="360">
        <v>0</v>
      </c>
      <c r="AD28" s="360">
        <v>0</v>
      </c>
      <c r="AE28" s="361">
        <v>0</v>
      </c>
      <c r="AF28" s="359">
        <v>0</v>
      </c>
      <c r="AG28" s="360">
        <v>0</v>
      </c>
      <c r="AH28" s="360">
        <v>0</v>
      </c>
      <c r="AI28" s="360">
        <v>0</v>
      </c>
      <c r="AJ28" s="360">
        <v>0</v>
      </c>
      <c r="AK28" s="361">
        <v>0</v>
      </c>
      <c r="AL28" s="228" t="s">
        <v>273</v>
      </c>
      <c r="AM28" s="229" t="s">
        <v>229</v>
      </c>
      <c r="AN28" s="229" t="s">
        <v>291</v>
      </c>
      <c r="AO28" s="229" t="s">
        <v>277</v>
      </c>
      <c r="AP28" s="229" t="s">
        <v>308</v>
      </c>
    </row>
    <row r="29" spans="1:42" ht="12.75" customHeight="1" x14ac:dyDescent="0.15">
      <c r="A29" s="316"/>
      <c r="B29" s="222" t="s">
        <v>309</v>
      </c>
      <c r="C29" s="241" t="s">
        <v>12</v>
      </c>
      <c r="D29" s="356">
        <v>46658861.005330384</v>
      </c>
      <c r="E29" s="357">
        <v>28528250.711565401</v>
      </c>
      <c r="F29" s="357">
        <v>35108704.694896109</v>
      </c>
      <c r="G29" s="357">
        <v>28470220.277424701</v>
      </c>
      <c r="H29" s="358">
        <f t="shared" si="1"/>
        <v>2.033525188424783E-2</v>
      </c>
      <c r="I29" s="498">
        <v>13555.032645928148</v>
      </c>
      <c r="J29" s="357">
        <v>10742.6892270879</v>
      </c>
      <c r="K29" s="357">
        <v>13245.104895104892</v>
      </c>
      <c r="L29" s="357">
        <v>10755.3582563046</v>
      </c>
      <c r="M29" s="358">
        <f t="shared" si="6"/>
        <v>3.8460132899341894E-2</v>
      </c>
      <c r="N29" s="359">
        <v>0</v>
      </c>
      <c r="O29" s="360">
        <v>0</v>
      </c>
      <c r="P29" s="360">
        <v>0</v>
      </c>
      <c r="Q29" s="360">
        <v>0</v>
      </c>
      <c r="R29" s="361">
        <v>0</v>
      </c>
      <c r="S29" s="362">
        <v>1.07255065945067</v>
      </c>
      <c r="T29" s="363">
        <v>0.80128069036597505</v>
      </c>
      <c r="U29" s="362">
        <v>1.20486236314213</v>
      </c>
      <c r="V29" s="363">
        <v>1.04277054389436</v>
      </c>
      <c r="W29" s="359">
        <v>0.82750780210328634</v>
      </c>
      <c r="X29" s="360">
        <v>0</v>
      </c>
      <c r="Y29" s="360">
        <v>0.8187463560928907</v>
      </c>
      <c r="Z29" s="360">
        <v>0.82750780210328634</v>
      </c>
      <c r="AA29" s="360">
        <v>0</v>
      </c>
      <c r="AB29" s="360">
        <v>0.8187463560928907</v>
      </c>
      <c r="AC29" s="360">
        <v>0</v>
      </c>
      <c r="AD29" s="360">
        <v>0</v>
      </c>
      <c r="AE29" s="361">
        <v>0</v>
      </c>
      <c r="AF29" s="359">
        <v>13.975900608105572</v>
      </c>
      <c r="AG29" s="360">
        <v>0</v>
      </c>
      <c r="AH29" s="360">
        <v>8.8127481250521473</v>
      </c>
      <c r="AI29" s="360">
        <v>0</v>
      </c>
      <c r="AJ29" s="360">
        <v>0</v>
      </c>
      <c r="AK29" s="361">
        <v>0</v>
      </c>
      <c r="AL29" s="228" t="s">
        <v>273</v>
      </c>
      <c r="AM29" s="229" t="s">
        <v>229</v>
      </c>
      <c r="AN29" s="229" t="s">
        <v>276</v>
      </c>
      <c r="AO29" s="229" t="s">
        <v>277</v>
      </c>
      <c r="AP29" s="229" t="s">
        <v>289</v>
      </c>
    </row>
    <row r="30" spans="1:42" ht="12.75" customHeight="1" x14ac:dyDescent="0.15">
      <c r="A30" s="316"/>
      <c r="B30" s="222" t="s">
        <v>310</v>
      </c>
      <c r="C30" s="241" t="s">
        <v>311</v>
      </c>
      <c r="D30" s="356">
        <v>38669944.761878654</v>
      </c>
      <c r="E30" s="357">
        <v>27471543.530011401</v>
      </c>
      <c r="F30" s="357">
        <v>36394504.359999999</v>
      </c>
      <c r="G30" s="357">
        <v>39362643.575999998</v>
      </c>
      <c r="H30" s="358">
        <f t="shared" si="1"/>
        <v>2.8115317133058551E-2</v>
      </c>
      <c r="I30" s="498">
        <v>6905.3116470313498</v>
      </c>
      <c r="J30" s="357">
        <v>5849.4110000000001</v>
      </c>
      <c r="K30" s="357">
        <v>7565.3130000000001</v>
      </c>
      <c r="L30" s="357">
        <v>6569.8919999999998</v>
      </c>
      <c r="M30" s="358">
        <f t="shared" si="6"/>
        <v>2.3493305702411836E-2</v>
      </c>
      <c r="N30" s="359">
        <v>0</v>
      </c>
      <c r="O30" s="360">
        <v>0</v>
      </c>
      <c r="P30" s="360">
        <v>0</v>
      </c>
      <c r="Q30" s="360">
        <v>0</v>
      </c>
      <c r="R30" s="361">
        <v>0</v>
      </c>
      <c r="S30" s="362">
        <v>2.84326790450167</v>
      </c>
      <c r="T30" s="363">
        <v>3.0140531968072399</v>
      </c>
      <c r="U30" s="362">
        <v>3.77225833376359</v>
      </c>
      <c r="V30" s="363">
        <v>4.1211674182009599</v>
      </c>
      <c r="W30" s="359">
        <v>0.6613784589775491</v>
      </c>
      <c r="X30" s="360">
        <v>0</v>
      </c>
      <c r="Y30" s="360">
        <v>0.64973602341184389</v>
      </c>
      <c r="Z30" s="360">
        <v>0.6613784589775491</v>
      </c>
      <c r="AA30" s="360">
        <v>0</v>
      </c>
      <c r="AB30" s="360">
        <v>0.64973602341184389</v>
      </c>
      <c r="AC30" s="360">
        <v>0</v>
      </c>
      <c r="AD30" s="360">
        <v>0</v>
      </c>
      <c r="AE30" s="361">
        <v>0</v>
      </c>
      <c r="AF30" s="359">
        <v>13.558363539104461</v>
      </c>
      <c r="AG30" s="360">
        <v>0</v>
      </c>
      <c r="AH30" s="360">
        <v>13.75022657985831</v>
      </c>
      <c r="AI30" s="360">
        <v>0</v>
      </c>
      <c r="AJ30" s="360">
        <v>0</v>
      </c>
      <c r="AK30" s="361">
        <v>0</v>
      </c>
      <c r="AL30" s="228" t="s">
        <v>273</v>
      </c>
      <c r="AM30" s="229" t="s">
        <v>229</v>
      </c>
      <c r="AN30" s="229" t="s">
        <v>276</v>
      </c>
      <c r="AO30" s="229" t="s">
        <v>277</v>
      </c>
      <c r="AP30" s="229" t="s">
        <v>292</v>
      </c>
    </row>
    <row r="31" spans="1:42" ht="12.75" customHeight="1" x14ac:dyDescent="0.15">
      <c r="A31" s="316"/>
      <c r="B31" s="222" t="s">
        <v>312</v>
      </c>
      <c r="C31" s="223" t="s">
        <v>20</v>
      </c>
      <c r="D31" s="356">
        <v>0</v>
      </c>
      <c r="E31" s="357">
        <v>0</v>
      </c>
      <c r="F31" s="357">
        <v>8329976.2015110003</v>
      </c>
      <c r="G31" s="357">
        <v>22210054.466499999</v>
      </c>
      <c r="H31" s="358">
        <f t="shared" si="1"/>
        <v>1.5863841148333932E-2</v>
      </c>
      <c r="I31" s="498">
        <v>0</v>
      </c>
      <c r="J31" s="357">
        <v>0</v>
      </c>
      <c r="K31" s="357">
        <v>2849.3881590000001</v>
      </c>
      <c r="L31" s="357">
        <v>6891.5982639499998</v>
      </c>
      <c r="M31" s="358">
        <f t="shared" si="6"/>
        <v>2.464369654679073E-2</v>
      </c>
      <c r="N31" s="359">
        <v>0</v>
      </c>
      <c r="O31" s="360">
        <v>0</v>
      </c>
      <c r="P31" s="360">
        <v>0</v>
      </c>
      <c r="Q31" s="360">
        <v>0</v>
      </c>
      <c r="R31" s="361">
        <v>0</v>
      </c>
      <c r="S31" s="362">
        <v>0</v>
      </c>
      <c r="T31" s="363">
        <v>1.19894423672808</v>
      </c>
      <c r="U31" s="362">
        <v>0</v>
      </c>
      <c r="V31" s="363">
        <v>1.8142872369623999</v>
      </c>
      <c r="W31" s="359">
        <v>0</v>
      </c>
      <c r="X31" s="360">
        <v>0</v>
      </c>
      <c r="Y31" s="360">
        <v>0.67457265473271055</v>
      </c>
      <c r="Z31" s="360">
        <v>0</v>
      </c>
      <c r="AA31" s="360">
        <v>0</v>
      </c>
      <c r="AB31" s="360">
        <v>0.67457265473271055</v>
      </c>
      <c r="AC31" s="360">
        <v>0</v>
      </c>
      <c r="AD31" s="360">
        <v>0</v>
      </c>
      <c r="AE31" s="361">
        <v>0</v>
      </c>
      <c r="AF31" s="359">
        <v>0</v>
      </c>
      <c r="AG31" s="360">
        <v>0</v>
      </c>
      <c r="AH31" s="360">
        <v>9.7884090449272811</v>
      </c>
      <c r="AI31" s="360">
        <v>0</v>
      </c>
      <c r="AJ31" s="360">
        <v>0</v>
      </c>
      <c r="AK31" s="361">
        <v>0</v>
      </c>
      <c r="AL31" s="228" t="s">
        <v>283</v>
      </c>
      <c r="AM31" s="229" t="s">
        <v>229</v>
      </c>
      <c r="AN31" s="229" t="s">
        <v>276</v>
      </c>
      <c r="AO31" s="229" t="s">
        <v>294</v>
      </c>
      <c r="AP31" s="229" t="s">
        <v>313</v>
      </c>
    </row>
    <row r="32" spans="1:42" ht="12.75" customHeight="1" x14ac:dyDescent="0.15">
      <c r="A32" s="385"/>
      <c r="B32" s="251" t="s">
        <v>439</v>
      </c>
      <c r="C32" s="241" t="s">
        <v>218</v>
      </c>
      <c r="D32" s="380">
        <v>6228212.8731551599</v>
      </c>
      <c r="E32" s="381">
        <v>608585.63</v>
      </c>
      <c r="F32" s="381">
        <v>5652417.9100000001</v>
      </c>
      <c r="G32" s="381">
        <v>4428462.6831857804</v>
      </c>
      <c r="H32" s="358">
        <f t="shared" si="1"/>
        <v>3.1630912316467944E-3</v>
      </c>
      <c r="I32" s="499">
        <v>917.89</v>
      </c>
      <c r="J32" s="381">
        <v>75.196400698020497</v>
      </c>
      <c r="K32" s="381">
        <v>742.57763999999997</v>
      </c>
      <c r="L32" s="381">
        <v>1180.45143587441</v>
      </c>
      <c r="M32" s="358">
        <f t="shared" si="6"/>
        <v>4.221181482107852E-3</v>
      </c>
      <c r="N32" s="382">
        <v>0</v>
      </c>
      <c r="O32" s="383">
        <v>0</v>
      </c>
      <c r="P32" s="383">
        <v>0</v>
      </c>
      <c r="Q32" s="383">
        <v>0</v>
      </c>
      <c r="R32" s="384">
        <v>0</v>
      </c>
      <c r="S32" s="362">
        <v>5.5131263742430603E-2</v>
      </c>
      <c r="T32" s="363">
        <v>0.83850461062639403</v>
      </c>
      <c r="U32" s="362">
        <v>5.5626422006568102E-2</v>
      </c>
      <c r="V32" s="363">
        <v>1.5577255600037401</v>
      </c>
      <c r="W32" s="359">
        <v>0.65000002384185795</v>
      </c>
      <c r="X32" s="383">
        <v>0</v>
      </c>
      <c r="Y32" s="360">
        <v>0.8096045254133919</v>
      </c>
      <c r="Z32" s="383">
        <v>0.65000002384185795</v>
      </c>
      <c r="AA32" s="383">
        <v>0</v>
      </c>
      <c r="AB32" s="360">
        <v>0.8096045254133919</v>
      </c>
      <c r="AC32" s="383">
        <v>0</v>
      </c>
      <c r="AD32" s="383">
        <v>0</v>
      </c>
      <c r="AE32" s="384">
        <v>0</v>
      </c>
      <c r="AF32" s="359">
        <v>14.430448256878121</v>
      </c>
      <c r="AG32" s="383">
        <v>0</v>
      </c>
      <c r="AH32" s="360">
        <v>10.504857348425798</v>
      </c>
      <c r="AI32" s="383">
        <v>0</v>
      </c>
      <c r="AJ32" s="383">
        <v>0</v>
      </c>
      <c r="AK32" s="384">
        <v>0</v>
      </c>
      <c r="AL32" s="252" t="s">
        <v>373</v>
      </c>
      <c r="AM32" s="253" t="s">
        <v>331</v>
      </c>
      <c r="AN32" s="253" t="s">
        <v>276</v>
      </c>
      <c r="AO32" s="253" t="s">
        <v>277</v>
      </c>
      <c r="AP32" s="253" t="s">
        <v>440</v>
      </c>
    </row>
    <row r="33" spans="1:42" ht="12.75" customHeight="1" x14ac:dyDescent="0.15">
      <c r="A33" s="385"/>
      <c r="B33" s="251" t="s">
        <v>481</v>
      </c>
      <c r="C33" s="241" t="s">
        <v>482</v>
      </c>
      <c r="D33" s="380">
        <v>36221162</v>
      </c>
      <c r="E33" s="381">
        <v>28285301</v>
      </c>
      <c r="F33" s="381">
        <v>30884537.32</v>
      </c>
      <c r="G33" s="381">
        <v>30881957</v>
      </c>
      <c r="H33" s="358">
        <f t="shared" si="1"/>
        <v>2.2057868472885454E-2</v>
      </c>
      <c r="I33" s="499">
        <v>5570</v>
      </c>
      <c r="J33" s="381">
        <v>4416</v>
      </c>
      <c r="K33" s="381">
        <v>4649.6499999999996</v>
      </c>
      <c r="L33" s="381">
        <v>4486</v>
      </c>
      <c r="M33" s="358">
        <f t="shared" si="6"/>
        <v>1.6041507132996936E-2</v>
      </c>
      <c r="N33" s="382"/>
      <c r="O33" s="383"/>
      <c r="P33" s="383"/>
      <c r="Q33" s="383"/>
      <c r="R33" s="384"/>
      <c r="S33" s="386">
        <v>0</v>
      </c>
      <c r="T33" s="387">
        <v>0</v>
      </c>
      <c r="U33" s="382">
        <v>0</v>
      </c>
      <c r="V33" s="384">
        <v>0</v>
      </c>
      <c r="W33" s="382">
        <v>0</v>
      </c>
      <c r="X33" s="383">
        <v>0</v>
      </c>
      <c r="Y33" s="383">
        <v>0</v>
      </c>
      <c r="Z33" s="383">
        <v>0</v>
      </c>
      <c r="AA33" s="383">
        <v>0</v>
      </c>
      <c r="AB33" s="383">
        <v>0</v>
      </c>
      <c r="AC33" s="383">
        <v>0</v>
      </c>
      <c r="AD33" s="383">
        <v>0</v>
      </c>
      <c r="AE33" s="384">
        <v>0</v>
      </c>
      <c r="AF33" s="382">
        <v>0</v>
      </c>
      <c r="AG33" s="383">
        <v>0</v>
      </c>
      <c r="AH33" s="383">
        <v>0</v>
      </c>
      <c r="AI33" s="383">
        <v>0</v>
      </c>
      <c r="AJ33" s="383">
        <v>0</v>
      </c>
      <c r="AK33" s="384">
        <v>0</v>
      </c>
      <c r="AL33" s="252"/>
      <c r="AM33" s="253"/>
      <c r="AN33" s="253"/>
      <c r="AO33" s="253"/>
      <c r="AP33" s="253"/>
    </row>
    <row r="34" spans="1:42" ht="12.75" customHeight="1" x14ac:dyDescent="0.15">
      <c r="A34" s="385"/>
      <c r="B34" s="250"/>
      <c r="C34" s="237" t="s">
        <v>414</v>
      </c>
      <c r="D34" s="348">
        <f>SUM(D35:D44)</f>
        <v>32869969.671923958</v>
      </c>
      <c r="E34" s="348">
        <f t="shared" ref="E34:G34" si="27">SUM(E35:E44)</f>
        <v>12335248.42052</v>
      </c>
      <c r="F34" s="348">
        <f t="shared" si="27"/>
        <v>28619095.408599999</v>
      </c>
      <c r="G34" s="348">
        <f t="shared" si="27"/>
        <v>16765578.339591</v>
      </c>
      <c r="H34" s="350">
        <f t="shared" si="1"/>
        <v>1.1975048144991444E-2</v>
      </c>
      <c r="I34" s="497">
        <f t="shared" ref="I34" si="28">SUM(I35:I44)</f>
        <v>6051.5722362934757</v>
      </c>
      <c r="J34" s="348">
        <f t="shared" ref="J34" si="29">SUM(J35:J44)</f>
        <v>1952.7906695999989</v>
      </c>
      <c r="K34" s="348">
        <f t="shared" ref="K34" si="30">SUM(K35:K44)</f>
        <v>4198.9740130000009</v>
      </c>
      <c r="L34" s="348">
        <f t="shared" ref="L34" si="31">SUM(L35:L44)</f>
        <v>1784.0886361600001</v>
      </c>
      <c r="M34" s="350">
        <f t="shared" si="6"/>
        <v>6.3797304018857366E-3</v>
      </c>
      <c r="N34" s="351">
        <v>0</v>
      </c>
      <c r="O34" s="352">
        <v>0</v>
      </c>
      <c r="P34" s="352">
        <v>0</v>
      </c>
      <c r="Q34" s="352">
        <v>0</v>
      </c>
      <c r="R34" s="353">
        <v>0</v>
      </c>
      <c r="S34" s="354">
        <f>AVERAGE(S36:S38,S40,S42:S43)</f>
        <v>0.78445776034494574</v>
      </c>
      <c r="T34" s="355"/>
      <c r="U34" s="354"/>
      <c r="V34" s="355"/>
      <c r="W34" s="351"/>
      <c r="X34" s="352"/>
      <c r="Y34" s="352"/>
      <c r="Z34" s="352"/>
      <c r="AA34" s="352"/>
      <c r="AB34" s="352"/>
      <c r="AC34" s="352"/>
      <c r="AD34" s="352"/>
      <c r="AE34" s="353"/>
      <c r="AF34" s="351"/>
      <c r="AG34" s="352"/>
      <c r="AH34" s="352"/>
      <c r="AI34" s="352"/>
      <c r="AJ34" s="352"/>
      <c r="AK34" s="353"/>
      <c r="AL34" s="238"/>
      <c r="AM34" s="239"/>
      <c r="AN34" s="249"/>
      <c r="AO34" s="249"/>
      <c r="AP34" s="239"/>
    </row>
    <row r="35" spans="1:42" ht="12.75" customHeight="1" x14ac:dyDescent="0.15">
      <c r="A35" s="385"/>
      <c r="B35" s="251" t="s">
        <v>415</v>
      </c>
      <c r="C35" s="241" t="s">
        <v>23</v>
      </c>
      <c r="D35" s="380">
        <v>0</v>
      </c>
      <c r="E35" s="381">
        <v>0</v>
      </c>
      <c r="F35" s="381">
        <v>0</v>
      </c>
      <c r="G35" s="381">
        <v>0</v>
      </c>
      <c r="H35" s="358">
        <f t="shared" si="1"/>
        <v>0</v>
      </c>
      <c r="I35" s="499">
        <v>0</v>
      </c>
      <c r="J35" s="381">
        <v>0</v>
      </c>
      <c r="K35" s="381">
        <v>0</v>
      </c>
      <c r="L35" s="381">
        <v>0</v>
      </c>
      <c r="M35" s="358">
        <f t="shared" si="6"/>
        <v>0</v>
      </c>
      <c r="N35" s="382">
        <v>0</v>
      </c>
      <c r="O35" s="383">
        <v>0</v>
      </c>
      <c r="P35" s="383">
        <v>0</v>
      </c>
      <c r="Q35" s="383">
        <v>0</v>
      </c>
      <c r="R35" s="384">
        <v>0</v>
      </c>
      <c r="S35" s="362">
        <v>0</v>
      </c>
      <c r="T35" s="363">
        <v>0</v>
      </c>
      <c r="U35" s="362">
        <v>0</v>
      </c>
      <c r="V35" s="363">
        <v>0</v>
      </c>
      <c r="W35" s="382">
        <v>0</v>
      </c>
      <c r="X35" s="383">
        <v>0</v>
      </c>
      <c r="Y35" s="383">
        <v>0</v>
      </c>
      <c r="Z35" s="383">
        <v>0</v>
      </c>
      <c r="AA35" s="383">
        <v>0</v>
      </c>
      <c r="AB35" s="360">
        <v>0</v>
      </c>
      <c r="AC35" s="383">
        <v>0</v>
      </c>
      <c r="AD35" s="383">
        <v>0</v>
      </c>
      <c r="AE35" s="384">
        <v>0</v>
      </c>
      <c r="AF35" s="382">
        <v>0</v>
      </c>
      <c r="AG35" s="383">
        <v>0</v>
      </c>
      <c r="AH35" s="383">
        <v>0</v>
      </c>
      <c r="AI35" s="383">
        <v>0</v>
      </c>
      <c r="AJ35" s="383">
        <v>0</v>
      </c>
      <c r="AK35" s="384">
        <v>0</v>
      </c>
      <c r="AL35" s="252" t="s">
        <v>373</v>
      </c>
      <c r="AM35" s="253" t="s">
        <v>229</v>
      </c>
      <c r="AN35" s="253" t="s">
        <v>291</v>
      </c>
      <c r="AO35" s="253" t="s">
        <v>288</v>
      </c>
      <c r="AP35" s="253" t="s">
        <v>416</v>
      </c>
    </row>
    <row r="36" spans="1:42" ht="12.75" customHeight="1" x14ac:dyDescent="0.15">
      <c r="A36" s="385"/>
      <c r="B36" s="251" t="s">
        <v>417</v>
      </c>
      <c r="C36" s="241" t="s">
        <v>24</v>
      </c>
      <c r="D36" s="380">
        <v>8038998.9000000022</v>
      </c>
      <c r="E36" s="381">
        <v>1247613.8400000001</v>
      </c>
      <c r="F36" s="381">
        <v>7950221.25</v>
      </c>
      <c r="G36" s="381">
        <v>2427066.9592400002</v>
      </c>
      <c r="H36" s="358">
        <f t="shared" si="1"/>
        <v>1.7335664239737775E-3</v>
      </c>
      <c r="I36" s="499">
        <v>800.09999999999991</v>
      </c>
      <c r="J36" s="381">
        <v>150.18299999999999</v>
      </c>
      <c r="K36" s="381">
        <v>693.7496000000001</v>
      </c>
      <c r="L36" s="381">
        <v>217.77666805999999</v>
      </c>
      <c r="M36" s="358">
        <f t="shared" si="6"/>
        <v>7.7874854527079705E-4</v>
      </c>
      <c r="N36" s="382">
        <v>0</v>
      </c>
      <c r="O36" s="383">
        <v>0</v>
      </c>
      <c r="P36" s="383">
        <v>0</v>
      </c>
      <c r="Q36" s="383">
        <v>0</v>
      </c>
      <c r="R36" s="384">
        <v>0</v>
      </c>
      <c r="S36" s="362">
        <v>0.455949586282966</v>
      </c>
      <c r="T36" s="363">
        <v>1.6928911490220699</v>
      </c>
      <c r="U36" s="362">
        <v>0.64395994741501605</v>
      </c>
      <c r="V36" s="363">
        <v>2.6490498779627298</v>
      </c>
      <c r="W36" s="359">
        <v>0.8406939610021319</v>
      </c>
      <c r="X36" s="383">
        <v>0</v>
      </c>
      <c r="Y36" s="360">
        <v>0.68595230073887759</v>
      </c>
      <c r="Z36" s="383">
        <v>0.8406939610021319</v>
      </c>
      <c r="AA36" s="383">
        <v>0</v>
      </c>
      <c r="AB36" s="360">
        <v>0.68595230073887759</v>
      </c>
      <c r="AC36" s="383">
        <v>0</v>
      </c>
      <c r="AD36" s="383">
        <v>0</v>
      </c>
      <c r="AE36" s="384">
        <v>0</v>
      </c>
      <c r="AF36" s="359">
        <v>8.47771773612258</v>
      </c>
      <c r="AG36" s="383">
        <v>0</v>
      </c>
      <c r="AH36" s="360">
        <v>12.070315517178875</v>
      </c>
      <c r="AI36" s="383">
        <v>0</v>
      </c>
      <c r="AJ36" s="383">
        <v>0</v>
      </c>
      <c r="AK36" s="384">
        <v>0</v>
      </c>
      <c r="AL36" s="252" t="s">
        <v>373</v>
      </c>
      <c r="AM36" s="253" t="s">
        <v>229</v>
      </c>
      <c r="AN36" s="253" t="s">
        <v>276</v>
      </c>
      <c r="AO36" s="253" t="s">
        <v>277</v>
      </c>
      <c r="AP36" s="253" t="s">
        <v>416</v>
      </c>
    </row>
    <row r="37" spans="1:42" ht="12.75" customHeight="1" x14ac:dyDescent="0.15">
      <c r="A37" s="385"/>
      <c r="B37" s="251" t="s">
        <v>418</v>
      </c>
      <c r="C37" s="241" t="s">
        <v>25</v>
      </c>
      <c r="D37" s="380">
        <v>7034000.4000000004</v>
      </c>
      <c r="E37" s="381">
        <v>4069027.7250799998</v>
      </c>
      <c r="F37" s="381">
        <v>5231936.2399999993</v>
      </c>
      <c r="G37" s="381">
        <v>2652656.8055799999</v>
      </c>
      <c r="H37" s="358">
        <f t="shared" si="1"/>
        <v>1.8946971178409489E-3</v>
      </c>
      <c r="I37" s="499">
        <v>800.09999999999991</v>
      </c>
      <c r="J37" s="381">
        <v>749.87322199999903</v>
      </c>
      <c r="K37" s="381">
        <v>1020.1800000000001</v>
      </c>
      <c r="L37" s="381">
        <v>301.84113406</v>
      </c>
      <c r="M37" s="358">
        <f t="shared" si="6"/>
        <v>1.0793550390225978E-3</v>
      </c>
      <c r="N37" s="382">
        <v>0</v>
      </c>
      <c r="O37" s="383">
        <v>0</v>
      </c>
      <c r="P37" s="383">
        <v>0</v>
      </c>
      <c r="Q37" s="383">
        <v>0</v>
      </c>
      <c r="R37" s="384">
        <v>0</v>
      </c>
      <c r="S37" s="362">
        <v>0.64230345759280605</v>
      </c>
      <c r="T37" s="363">
        <v>1.42883087884017</v>
      </c>
      <c r="U37" s="362">
        <v>1.52133639662695</v>
      </c>
      <c r="V37" s="363">
        <v>2.5808774646449999</v>
      </c>
      <c r="W37" s="359">
        <v>0.84108714972494647</v>
      </c>
      <c r="X37" s="383">
        <v>0</v>
      </c>
      <c r="Y37" s="360">
        <v>0.67693749266545111</v>
      </c>
      <c r="Z37" s="383">
        <v>0.84108714972494647</v>
      </c>
      <c r="AA37" s="383">
        <v>0</v>
      </c>
      <c r="AB37" s="360">
        <v>0.67693749266545111</v>
      </c>
      <c r="AC37" s="383">
        <v>0</v>
      </c>
      <c r="AD37" s="383">
        <v>0</v>
      </c>
      <c r="AE37" s="384">
        <v>0</v>
      </c>
      <c r="AF37" s="359">
        <v>8.9888330722742609</v>
      </c>
      <c r="AG37" s="383">
        <v>0</v>
      </c>
      <c r="AH37" s="360">
        <v>11.5400067072345</v>
      </c>
      <c r="AI37" s="383">
        <v>0</v>
      </c>
      <c r="AJ37" s="383">
        <v>0</v>
      </c>
      <c r="AK37" s="384">
        <v>0</v>
      </c>
      <c r="AL37" s="252" t="s">
        <v>373</v>
      </c>
      <c r="AM37" s="253" t="s">
        <v>229</v>
      </c>
      <c r="AN37" s="253" t="s">
        <v>276</v>
      </c>
      <c r="AO37" s="253" t="s">
        <v>277</v>
      </c>
      <c r="AP37" s="253" t="s">
        <v>416</v>
      </c>
    </row>
    <row r="38" spans="1:42" ht="12.75" customHeight="1" x14ac:dyDescent="0.15">
      <c r="A38" s="385"/>
      <c r="B38" s="251" t="s">
        <v>419</v>
      </c>
      <c r="C38" s="241" t="s">
        <v>26</v>
      </c>
      <c r="D38" s="380">
        <v>5740382.0059409747</v>
      </c>
      <c r="E38" s="381">
        <v>3456917.5134399999</v>
      </c>
      <c r="F38" s="381">
        <v>5660503.6399999997</v>
      </c>
      <c r="G38" s="381">
        <v>3258844.5</v>
      </c>
      <c r="H38" s="358">
        <f t="shared" si="1"/>
        <v>2.3276751325891089E-3</v>
      </c>
      <c r="I38" s="499">
        <v>713.99528679430728</v>
      </c>
      <c r="J38" s="381">
        <v>402.7409384</v>
      </c>
      <c r="K38" s="381">
        <v>512.81799999999998</v>
      </c>
      <c r="L38" s="381">
        <v>213.55482348000001</v>
      </c>
      <c r="M38" s="358">
        <f t="shared" si="6"/>
        <v>7.6365163266614393E-4</v>
      </c>
      <c r="N38" s="382">
        <v>0</v>
      </c>
      <c r="O38" s="383">
        <v>0</v>
      </c>
      <c r="P38" s="383">
        <v>0</v>
      </c>
      <c r="Q38" s="383">
        <v>0</v>
      </c>
      <c r="R38" s="384">
        <v>0</v>
      </c>
      <c r="S38" s="362">
        <v>0.54553641867520697</v>
      </c>
      <c r="T38" s="363">
        <v>1.4508654813967701</v>
      </c>
      <c r="U38" s="362">
        <v>1.0942160779179699</v>
      </c>
      <c r="V38" s="363">
        <v>2.3628495632787598</v>
      </c>
      <c r="W38" s="359">
        <v>0.75231057924014277</v>
      </c>
      <c r="X38" s="383">
        <v>0</v>
      </c>
      <c r="Y38" s="360">
        <v>0.72551111373890653</v>
      </c>
      <c r="Z38" s="383">
        <v>0.75231057924014277</v>
      </c>
      <c r="AA38" s="383">
        <v>0</v>
      </c>
      <c r="AB38" s="360">
        <v>0.72551111373890653</v>
      </c>
      <c r="AC38" s="383">
        <v>0</v>
      </c>
      <c r="AD38" s="383">
        <v>0</v>
      </c>
      <c r="AE38" s="384">
        <v>0</v>
      </c>
      <c r="AF38" s="359">
        <v>7.7856905841867245</v>
      </c>
      <c r="AG38" s="383">
        <v>0</v>
      </c>
      <c r="AH38" s="360">
        <v>10.843967839651341</v>
      </c>
      <c r="AI38" s="383">
        <v>0</v>
      </c>
      <c r="AJ38" s="383">
        <v>0</v>
      </c>
      <c r="AK38" s="384">
        <v>0</v>
      </c>
      <c r="AL38" s="252" t="s">
        <v>373</v>
      </c>
      <c r="AM38" s="253" t="s">
        <v>229</v>
      </c>
      <c r="AN38" s="253" t="s">
        <v>276</v>
      </c>
      <c r="AO38" s="253" t="s">
        <v>277</v>
      </c>
      <c r="AP38" s="253" t="s">
        <v>416</v>
      </c>
    </row>
    <row r="39" spans="1:42" ht="12.75" customHeight="1" x14ac:dyDescent="0.15">
      <c r="A39" s="385"/>
      <c r="B39" s="251" t="s">
        <v>420</v>
      </c>
      <c r="C39" s="241" t="s">
        <v>33</v>
      </c>
      <c r="D39" s="380">
        <v>2341319.7600000002</v>
      </c>
      <c r="E39" s="381">
        <v>0</v>
      </c>
      <c r="F39" s="381">
        <v>2536330.3059999999</v>
      </c>
      <c r="G39" s="381">
        <v>0</v>
      </c>
      <c r="H39" s="358">
        <f t="shared" ref="H39:H70" si="32">+G39/$G$123</f>
        <v>0</v>
      </c>
      <c r="I39" s="499">
        <v>598.10400000000004</v>
      </c>
      <c r="J39" s="381">
        <v>0</v>
      </c>
      <c r="K39" s="381">
        <v>507.50800000000004</v>
      </c>
      <c r="L39" s="381">
        <v>0</v>
      </c>
      <c r="M39" s="358">
        <f t="shared" ref="M39:M70" si="33">+L39/$L$123</f>
        <v>0</v>
      </c>
      <c r="N39" s="382">
        <v>0</v>
      </c>
      <c r="O39" s="383">
        <v>0</v>
      </c>
      <c r="P39" s="383">
        <v>0</v>
      </c>
      <c r="Q39" s="383">
        <v>0</v>
      </c>
      <c r="R39" s="384">
        <v>0</v>
      </c>
      <c r="S39" s="362">
        <v>0</v>
      </c>
      <c r="T39" s="363">
        <v>0</v>
      </c>
      <c r="U39" s="362">
        <v>0</v>
      </c>
      <c r="V39" s="363">
        <v>0</v>
      </c>
      <c r="W39" s="382">
        <v>0</v>
      </c>
      <c r="X39" s="383">
        <v>0</v>
      </c>
      <c r="Y39" s="383">
        <v>0</v>
      </c>
      <c r="Z39" s="383">
        <v>0</v>
      </c>
      <c r="AA39" s="383">
        <v>0</v>
      </c>
      <c r="AB39" s="360">
        <v>0</v>
      </c>
      <c r="AC39" s="383">
        <v>0</v>
      </c>
      <c r="AD39" s="383">
        <v>0</v>
      </c>
      <c r="AE39" s="384">
        <v>0</v>
      </c>
      <c r="AF39" s="359">
        <v>0</v>
      </c>
      <c r="AG39" s="383">
        <v>0</v>
      </c>
      <c r="AH39" s="360">
        <v>0</v>
      </c>
      <c r="AI39" s="383">
        <v>0</v>
      </c>
      <c r="AJ39" s="383">
        <v>0</v>
      </c>
      <c r="AK39" s="384">
        <v>0</v>
      </c>
      <c r="AL39" s="252" t="s">
        <v>373</v>
      </c>
      <c r="AM39" s="253" t="s">
        <v>229</v>
      </c>
      <c r="AN39" s="253" t="s">
        <v>276</v>
      </c>
      <c r="AO39" s="253" t="s">
        <v>288</v>
      </c>
      <c r="AP39" s="253" t="s">
        <v>416</v>
      </c>
    </row>
    <row r="40" spans="1:42" ht="12.75" customHeight="1" x14ac:dyDescent="0.15">
      <c r="A40" s="385"/>
      <c r="B40" s="251" t="s">
        <v>421</v>
      </c>
      <c r="C40" s="241" t="s">
        <v>34</v>
      </c>
      <c r="D40" s="380">
        <v>6692532.2999999998</v>
      </c>
      <c r="E40" s="381">
        <v>1476509.58</v>
      </c>
      <c r="F40" s="381">
        <v>2636941.1850000001</v>
      </c>
      <c r="G40" s="381">
        <v>0</v>
      </c>
      <c r="H40" s="358">
        <f t="shared" si="32"/>
        <v>0</v>
      </c>
      <c r="I40" s="499">
        <v>2489.8995</v>
      </c>
      <c r="J40" s="381">
        <v>305.25299999999999</v>
      </c>
      <c r="K40" s="381">
        <v>694.31949999999995</v>
      </c>
      <c r="L40" s="381">
        <v>0</v>
      </c>
      <c r="M40" s="358">
        <f t="shared" si="33"/>
        <v>0</v>
      </c>
      <c r="N40" s="382">
        <v>0</v>
      </c>
      <c r="O40" s="383">
        <v>0</v>
      </c>
      <c r="P40" s="383">
        <v>0</v>
      </c>
      <c r="Q40" s="383">
        <v>0</v>
      </c>
      <c r="R40" s="384">
        <v>0</v>
      </c>
      <c r="S40" s="362">
        <v>0.74911579953132101</v>
      </c>
      <c r="T40" s="363">
        <v>0</v>
      </c>
      <c r="U40" s="362">
        <v>2.1699158323899002</v>
      </c>
      <c r="V40" s="363">
        <v>0</v>
      </c>
      <c r="W40" s="359">
        <v>0.78609286865746575</v>
      </c>
      <c r="X40" s="383">
        <v>0</v>
      </c>
      <c r="Y40" s="383">
        <v>0</v>
      </c>
      <c r="Z40" s="383">
        <v>0.78609286865746575</v>
      </c>
      <c r="AA40" s="383">
        <v>0</v>
      </c>
      <c r="AB40" s="360">
        <v>0</v>
      </c>
      <c r="AC40" s="383">
        <v>0</v>
      </c>
      <c r="AD40" s="383">
        <v>0</v>
      </c>
      <c r="AE40" s="384">
        <v>0</v>
      </c>
      <c r="AF40" s="359">
        <v>16.252530985948631</v>
      </c>
      <c r="AG40" s="383">
        <v>0</v>
      </c>
      <c r="AH40" s="360">
        <v>0</v>
      </c>
      <c r="AI40" s="383">
        <v>0</v>
      </c>
      <c r="AJ40" s="383">
        <v>0</v>
      </c>
      <c r="AK40" s="384">
        <v>0</v>
      </c>
      <c r="AL40" s="252" t="s">
        <v>373</v>
      </c>
      <c r="AM40" s="253" t="s">
        <v>229</v>
      </c>
      <c r="AN40" s="253" t="s">
        <v>276</v>
      </c>
      <c r="AO40" s="253" t="s">
        <v>288</v>
      </c>
      <c r="AP40" s="253" t="s">
        <v>416</v>
      </c>
    </row>
    <row r="41" spans="1:42" ht="12.75" customHeight="1" x14ac:dyDescent="0.15">
      <c r="A41" s="385"/>
      <c r="B41" s="251" t="s">
        <v>422</v>
      </c>
      <c r="C41" s="241" t="s">
        <v>423</v>
      </c>
      <c r="D41" s="380">
        <v>0</v>
      </c>
      <c r="E41" s="381">
        <v>0</v>
      </c>
      <c r="F41" s="381">
        <v>0</v>
      </c>
      <c r="G41" s="381">
        <v>0</v>
      </c>
      <c r="H41" s="358">
        <f t="shared" si="32"/>
        <v>0</v>
      </c>
      <c r="I41" s="499">
        <v>0</v>
      </c>
      <c r="J41" s="381">
        <v>0</v>
      </c>
      <c r="K41" s="381">
        <v>0</v>
      </c>
      <c r="L41" s="381">
        <v>0</v>
      </c>
      <c r="M41" s="358">
        <f t="shared" si="33"/>
        <v>0</v>
      </c>
      <c r="N41" s="382">
        <v>0</v>
      </c>
      <c r="O41" s="383">
        <v>0</v>
      </c>
      <c r="P41" s="383">
        <v>0</v>
      </c>
      <c r="Q41" s="383">
        <v>0</v>
      </c>
      <c r="R41" s="384">
        <v>0</v>
      </c>
      <c r="S41" s="362">
        <v>0</v>
      </c>
      <c r="T41" s="363">
        <v>0</v>
      </c>
      <c r="U41" s="362">
        <v>0</v>
      </c>
      <c r="V41" s="363">
        <v>0</v>
      </c>
      <c r="W41" s="382">
        <v>0</v>
      </c>
      <c r="X41" s="383">
        <v>0</v>
      </c>
      <c r="Y41" s="383">
        <v>0</v>
      </c>
      <c r="Z41" s="383">
        <v>0</v>
      </c>
      <c r="AA41" s="383">
        <v>0</v>
      </c>
      <c r="AB41" s="360">
        <v>0</v>
      </c>
      <c r="AC41" s="383">
        <v>0</v>
      </c>
      <c r="AD41" s="383">
        <v>0</v>
      </c>
      <c r="AE41" s="384">
        <v>0</v>
      </c>
      <c r="AF41" s="359">
        <v>0</v>
      </c>
      <c r="AG41" s="383">
        <v>0</v>
      </c>
      <c r="AH41" s="360">
        <v>0</v>
      </c>
      <c r="AI41" s="383">
        <v>0</v>
      </c>
      <c r="AJ41" s="383">
        <v>0</v>
      </c>
      <c r="AK41" s="384">
        <v>0</v>
      </c>
      <c r="AL41" s="252" t="s">
        <v>373</v>
      </c>
      <c r="AM41" s="253" t="s">
        <v>229</v>
      </c>
      <c r="AN41" s="253" t="s">
        <v>276</v>
      </c>
      <c r="AO41" s="253" t="s">
        <v>288</v>
      </c>
      <c r="AP41" s="253" t="s">
        <v>416</v>
      </c>
    </row>
    <row r="42" spans="1:42" ht="12.75" customHeight="1" x14ac:dyDescent="0.15">
      <c r="A42" s="385"/>
      <c r="B42" s="251" t="s">
        <v>424</v>
      </c>
      <c r="C42" s="241" t="s">
        <v>35</v>
      </c>
      <c r="D42" s="380">
        <v>1213736.305982979</v>
      </c>
      <c r="E42" s="381">
        <v>414885.60200000001</v>
      </c>
      <c r="F42" s="381">
        <v>660118.45760000008</v>
      </c>
      <c r="G42" s="381">
        <v>2924847.9517709999</v>
      </c>
      <c r="H42" s="358">
        <f t="shared" si="32"/>
        <v>2.0891134400372728E-3</v>
      </c>
      <c r="I42" s="499">
        <v>379.37344949916735</v>
      </c>
      <c r="J42" s="381">
        <v>145.65150919999999</v>
      </c>
      <c r="K42" s="381">
        <v>415.165413</v>
      </c>
      <c r="L42" s="381">
        <v>703.29101056000002</v>
      </c>
      <c r="M42" s="358">
        <f t="shared" si="33"/>
        <v>2.514901418294887E-3</v>
      </c>
      <c r="N42" s="382">
        <v>0</v>
      </c>
      <c r="O42" s="383">
        <v>0</v>
      </c>
      <c r="P42" s="383">
        <v>0</v>
      </c>
      <c r="Q42" s="383">
        <v>0</v>
      </c>
      <c r="R42" s="384">
        <v>0</v>
      </c>
      <c r="S42" s="362">
        <v>0.39018425268865398</v>
      </c>
      <c r="T42" s="363">
        <v>0.80383074776619001</v>
      </c>
      <c r="U42" s="362">
        <v>0.39540712689049101</v>
      </c>
      <c r="V42" s="363">
        <v>0.87992814514149298</v>
      </c>
      <c r="W42" s="359">
        <v>0.8661061528981765</v>
      </c>
      <c r="X42" s="383">
        <v>0</v>
      </c>
      <c r="Y42" s="360">
        <v>0.65000002384185818</v>
      </c>
      <c r="Z42" s="383">
        <v>0.8661061528981765</v>
      </c>
      <c r="AA42" s="383">
        <v>0</v>
      </c>
      <c r="AB42" s="360">
        <v>0.65000002384185818</v>
      </c>
      <c r="AC42" s="383">
        <v>0</v>
      </c>
      <c r="AD42" s="383">
        <v>0</v>
      </c>
      <c r="AE42" s="384">
        <v>0</v>
      </c>
      <c r="AF42" s="359">
        <v>11.233321251770027</v>
      </c>
      <c r="AG42" s="383">
        <v>0</v>
      </c>
      <c r="AH42" s="360">
        <v>10.038778085536492</v>
      </c>
      <c r="AI42" s="383">
        <v>0</v>
      </c>
      <c r="AJ42" s="383">
        <v>0</v>
      </c>
      <c r="AK42" s="384">
        <v>0</v>
      </c>
      <c r="AL42" s="252" t="s">
        <v>373</v>
      </c>
      <c r="AM42" s="253" t="s">
        <v>229</v>
      </c>
      <c r="AN42" s="253" t="s">
        <v>276</v>
      </c>
      <c r="AO42" s="253" t="s">
        <v>277</v>
      </c>
      <c r="AP42" s="253" t="s">
        <v>416</v>
      </c>
    </row>
    <row r="43" spans="1:42" ht="12.75" customHeight="1" x14ac:dyDescent="0.15">
      <c r="A43" s="385"/>
      <c r="B43" s="251" t="s">
        <v>425</v>
      </c>
      <c r="C43" s="241" t="s">
        <v>36</v>
      </c>
      <c r="D43" s="380">
        <v>1809000</v>
      </c>
      <c r="E43" s="381">
        <v>1670294.16</v>
      </c>
      <c r="F43" s="381">
        <v>3943044.3300000005</v>
      </c>
      <c r="G43" s="381">
        <v>5502162.1229999997</v>
      </c>
      <c r="H43" s="358">
        <f t="shared" si="32"/>
        <v>3.9299960305503364E-3</v>
      </c>
      <c r="I43" s="499">
        <v>270</v>
      </c>
      <c r="J43" s="381">
        <v>199.089</v>
      </c>
      <c r="K43" s="381">
        <v>355.23349999999999</v>
      </c>
      <c r="L43" s="381">
        <v>347.625</v>
      </c>
      <c r="M43" s="358">
        <f t="shared" si="33"/>
        <v>1.2430737666313107E-3</v>
      </c>
      <c r="N43" s="382">
        <v>0</v>
      </c>
      <c r="O43" s="383">
        <v>0</v>
      </c>
      <c r="P43" s="383">
        <v>0</v>
      </c>
      <c r="Q43" s="383">
        <v>0</v>
      </c>
      <c r="R43" s="384">
        <v>0</v>
      </c>
      <c r="S43" s="362">
        <v>1.92365704729872</v>
      </c>
      <c r="T43" s="363">
        <v>1.4543214028808999</v>
      </c>
      <c r="U43" s="362">
        <v>2.3137751156694799</v>
      </c>
      <c r="V43" s="363">
        <v>4.0897430280527498</v>
      </c>
      <c r="W43" s="359">
        <v>0.87863465348542558</v>
      </c>
      <c r="X43" s="383">
        <v>0</v>
      </c>
      <c r="Y43" s="360">
        <v>0.85</v>
      </c>
      <c r="Z43" s="383">
        <v>0.87863465348542558</v>
      </c>
      <c r="AA43" s="383">
        <v>0</v>
      </c>
      <c r="AB43" s="360">
        <v>0.85</v>
      </c>
      <c r="AC43" s="383">
        <v>0</v>
      </c>
      <c r="AD43" s="383">
        <v>0</v>
      </c>
      <c r="AE43" s="384">
        <v>0</v>
      </c>
      <c r="AF43" s="359">
        <v>8.2490249382180689</v>
      </c>
      <c r="AG43" s="383">
        <v>0</v>
      </c>
      <c r="AH43" s="360">
        <v>8</v>
      </c>
      <c r="AI43" s="383">
        <v>0</v>
      </c>
      <c r="AJ43" s="383">
        <v>0</v>
      </c>
      <c r="AK43" s="384">
        <v>0</v>
      </c>
      <c r="AL43" s="252" t="s">
        <v>373</v>
      </c>
      <c r="AM43" s="253" t="s">
        <v>229</v>
      </c>
      <c r="AN43" s="253" t="s">
        <v>276</v>
      </c>
      <c r="AO43" s="253" t="s">
        <v>277</v>
      </c>
      <c r="AP43" s="253" t="s">
        <v>416</v>
      </c>
    </row>
    <row r="44" spans="1:42" s="491" customFormat="1" ht="12.75" customHeight="1" x14ac:dyDescent="0.15">
      <c r="A44" s="481"/>
      <c r="B44" s="482" t="s">
        <v>372</v>
      </c>
      <c r="C44" s="245" t="s">
        <v>84</v>
      </c>
      <c r="D44" s="483">
        <v>0</v>
      </c>
      <c r="E44" s="484">
        <v>0</v>
      </c>
      <c r="F44" s="484">
        <v>0</v>
      </c>
      <c r="G44" s="484">
        <v>0</v>
      </c>
      <c r="H44" s="485">
        <f t="shared" si="32"/>
        <v>0</v>
      </c>
      <c r="I44" s="500">
        <v>0</v>
      </c>
      <c r="J44" s="484">
        <v>0</v>
      </c>
      <c r="K44" s="484">
        <v>0</v>
      </c>
      <c r="L44" s="484">
        <v>0</v>
      </c>
      <c r="M44" s="485">
        <f t="shared" si="33"/>
        <v>0</v>
      </c>
      <c r="N44" s="486">
        <v>0</v>
      </c>
      <c r="O44" s="487">
        <v>0</v>
      </c>
      <c r="P44" s="487">
        <v>0</v>
      </c>
      <c r="Q44" s="487">
        <v>0</v>
      </c>
      <c r="R44" s="488">
        <v>0</v>
      </c>
      <c r="S44" s="489">
        <v>0</v>
      </c>
      <c r="T44" s="490">
        <v>0</v>
      </c>
      <c r="U44" s="489">
        <v>0</v>
      </c>
      <c r="V44" s="490">
        <v>0</v>
      </c>
      <c r="W44" s="486">
        <v>0</v>
      </c>
      <c r="X44" s="487">
        <v>0</v>
      </c>
      <c r="Y44" s="487">
        <v>0</v>
      </c>
      <c r="Z44" s="487">
        <v>0</v>
      </c>
      <c r="AA44" s="487">
        <v>0</v>
      </c>
      <c r="AB44" s="487">
        <v>0</v>
      </c>
      <c r="AC44" s="487">
        <v>0</v>
      </c>
      <c r="AD44" s="487">
        <v>0</v>
      </c>
      <c r="AE44" s="488">
        <v>0</v>
      </c>
      <c r="AF44" s="486">
        <v>0</v>
      </c>
      <c r="AG44" s="487">
        <v>0</v>
      </c>
      <c r="AH44" s="487">
        <v>0</v>
      </c>
      <c r="AI44" s="487">
        <v>0</v>
      </c>
      <c r="AJ44" s="487">
        <v>0</v>
      </c>
      <c r="AK44" s="488">
        <v>0</v>
      </c>
      <c r="AL44" s="283" t="s">
        <v>373</v>
      </c>
      <c r="AM44" s="284" t="s">
        <v>233</v>
      </c>
      <c r="AN44" s="253" t="s">
        <v>291</v>
      </c>
      <c r="AO44" s="253" t="s">
        <v>288</v>
      </c>
      <c r="AP44" s="284" t="s">
        <v>374</v>
      </c>
    </row>
    <row r="45" spans="1:42" ht="12.75" customHeight="1" x14ac:dyDescent="0.15">
      <c r="A45" s="316"/>
      <c r="B45" s="236" t="s">
        <v>314</v>
      </c>
      <c r="C45" s="237" t="s">
        <v>315</v>
      </c>
      <c r="D45" s="348">
        <f>SUM(D46:D49)</f>
        <v>15019626.80533517</v>
      </c>
      <c r="E45" s="348">
        <f t="shared" ref="E45:G45" si="34">SUM(E46:E49)</f>
        <v>17183827.080365799</v>
      </c>
      <c r="F45" s="348">
        <f t="shared" si="34"/>
        <v>14926929.441184361</v>
      </c>
      <c r="G45" s="348">
        <f t="shared" si="34"/>
        <v>12536122.9450345</v>
      </c>
      <c r="H45" s="350">
        <f t="shared" si="32"/>
        <v>8.9541006446415446E-3</v>
      </c>
      <c r="I45" s="497">
        <f t="shared" ref="I45" si="35">SUM(I46:I49)</f>
        <v>2287.2110912810508</v>
      </c>
      <c r="J45" s="348">
        <f t="shared" ref="J45" si="36">SUM(J46:J49)</f>
        <v>2458.4540066</v>
      </c>
      <c r="K45" s="348">
        <f t="shared" ref="K45" si="37">SUM(K46:K49)</f>
        <v>1636.82731212</v>
      </c>
      <c r="L45" s="348">
        <f t="shared" ref="L45" si="38">SUM(L46:L49)</f>
        <v>1668.1218954712101</v>
      </c>
      <c r="M45" s="350">
        <f t="shared" si="33"/>
        <v>5.9650444237427077E-3</v>
      </c>
      <c r="N45" s="351">
        <v>0</v>
      </c>
      <c r="O45" s="352">
        <v>0</v>
      </c>
      <c r="P45" s="352">
        <v>0</v>
      </c>
      <c r="Q45" s="352">
        <v>0</v>
      </c>
      <c r="R45" s="353">
        <v>0</v>
      </c>
      <c r="S45" s="354">
        <f>AVERAGE(S47:S48)</f>
        <v>0.93300490916800261</v>
      </c>
      <c r="T45" s="355"/>
      <c r="U45" s="354"/>
      <c r="V45" s="355"/>
      <c r="W45" s="351"/>
      <c r="X45" s="352"/>
      <c r="Y45" s="352"/>
      <c r="Z45" s="352"/>
      <c r="AA45" s="352"/>
      <c r="AB45" s="352"/>
      <c r="AC45" s="352"/>
      <c r="AD45" s="352"/>
      <c r="AE45" s="353"/>
      <c r="AF45" s="351"/>
      <c r="AG45" s="352"/>
      <c r="AH45" s="352"/>
      <c r="AI45" s="352"/>
      <c r="AJ45" s="352"/>
      <c r="AK45" s="353"/>
      <c r="AL45" s="238" t="s">
        <v>273</v>
      </c>
      <c r="AM45" s="239" t="s">
        <v>233</v>
      </c>
      <c r="AN45" s="239"/>
      <c r="AO45" s="239"/>
      <c r="AP45" s="239" t="s">
        <v>316</v>
      </c>
    </row>
    <row r="46" spans="1:42" ht="12.75" customHeight="1" x14ac:dyDescent="0.15">
      <c r="A46" s="316"/>
      <c r="B46" s="222" t="s">
        <v>317</v>
      </c>
      <c r="C46" s="223" t="s">
        <v>78</v>
      </c>
      <c r="D46" s="356">
        <v>0</v>
      </c>
      <c r="E46" s="357">
        <v>0</v>
      </c>
      <c r="F46" s="357">
        <v>0</v>
      </c>
      <c r="G46" s="357">
        <v>0</v>
      </c>
      <c r="H46" s="358">
        <f t="shared" si="32"/>
        <v>0</v>
      </c>
      <c r="I46" s="498">
        <v>0</v>
      </c>
      <c r="J46" s="357">
        <v>0</v>
      </c>
      <c r="K46" s="357">
        <v>0</v>
      </c>
      <c r="L46" s="357">
        <v>0</v>
      </c>
      <c r="M46" s="358">
        <f t="shared" si="33"/>
        <v>0</v>
      </c>
      <c r="N46" s="359">
        <v>0</v>
      </c>
      <c r="O46" s="360">
        <v>0</v>
      </c>
      <c r="P46" s="360">
        <v>0</v>
      </c>
      <c r="Q46" s="360">
        <v>0</v>
      </c>
      <c r="R46" s="361">
        <v>0</v>
      </c>
      <c r="S46" s="362">
        <v>0</v>
      </c>
      <c r="T46" s="363">
        <v>0</v>
      </c>
      <c r="U46" s="362">
        <v>0</v>
      </c>
      <c r="V46" s="363">
        <v>0</v>
      </c>
      <c r="W46" s="359">
        <v>0</v>
      </c>
      <c r="X46" s="360">
        <v>0</v>
      </c>
      <c r="Y46" s="360">
        <v>0</v>
      </c>
      <c r="Z46" s="360">
        <v>0</v>
      </c>
      <c r="AA46" s="360">
        <v>0</v>
      </c>
      <c r="AB46" s="360">
        <v>0</v>
      </c>
      <c r="AC46" s="360">
        <v>0</v>
      </c>
      <c r="AD46" s="360">
        <v>0</v>
      </c>
      <c r="AE46" s="361">
        <v>0</v>
      </c>
      <c r="AF46" s="359">
        <v>0</v>
      </c>
      <c r="AG46" s="360">
        <v>0</v>
      </c>
      <c r="AH46" s="360">
        <v>0</v>
      </c>
      <c r="AI46" s="360">
        <v>0</v>
      </c>
      <c r="AJ46" s="360">
        <v>0</v>
      </c>
      <c r="AK46" s="361">
        <v>0</v>
      </c>
      <c r="AL46" s="228" t="s">
        <v>273</v>
      </c>
      <c r="AM46" s="229" t="s">
        <v>233</v>
      </c>
      <c r="AN46" s="229" t="s">
        <v>291</v>
      </c>
      <c r="AO46" s="229" t="s">
        <v>277</v>
      </c>
      <c r="AP46" s="229" t="s">
        <v>278</v>
      </c>
    </row>
    <row r="47" spans="1:42" ht="12.75" customHeight="1" x14ac:dyDescent="0.15">
      <c r="A47" s="316"/>
      <c r="B47" s="222" t="s">
        <v>318</v>
      </c>
      <c r="C47" s="223" t="s">
        <v>16</v>
      </c>
      <c r="D47" s="356">
        <v>11482199.797712415</v>
      </c>
      <c r="E47" s="357">
        <v>15379376.373</v>
      </c>
      <c r="F47" s="357">
        <v>12886105.489</v>
      </c>
      <c r="G47" s="357">
        <v>11107044.327913901</v>
      </c>
      <c r="H47" s="358">
        <f t="shared" si="32"/>
        <v>7.9333613121614424E-3</v>
      </c>
      <c r="I47" s="498">
        <v>1495.2790375730758</v>
      </c>
      <c r="J47" s="357">
        <v>1838.0250000000001</v>
      </c>
      <c r="K47" s="357">
        <v>1074.82</v>
      </c>
      <c r="L47" s="357">
        <v>1422.3419604712101</v>
      </c>
      <c r="M47" s="358">
        <f t="shared" si="33"/>
        <v>5.0861588730405178E-3</v>
      </c>
      <c r="N47" s="359">
        <v>0</v>
      </c>
      <c r="O47" s="360">
        <v>0</v>
      </c>
      <c r="P47" s="360">
        <v>0</v>
      </c>
      <c r="Q47" s="360">
        <v>0</v>
      </c>
      <c r="R47" s="361">
        <v>0</v>
      </c>
      <c r="S47" s="362">
        <v>1.1909638837030001</v>
      </c>
      <c r="T47" s="363">
        <v>0.82025119704268001</v>
      </c>
      <c r="U47" s="362">
        <v>2.9308978847229499</v>
      </c>
      <c r="V47" s="363">
        <v>2.4973672517884902</v>
      </c>
      <c r="W47" s="359">
        <v>0.75805100495060895</v>
      </c>
      <c r="X47" s="360">
        <v>0</v>
      </c>
      <c r="Y47" s="360">
        <v>0.71526151261978865</v>
      </c>
      <c r="Z47" s="360">
        <v>0.75805100495060895</v>
      </c>
      <c r="AA47" s="360">
        <v>0</v>
      </c>
      <c r="AB47" s="360">
        <v>0.71526151261978865</v>
      </c>
      <c r="AC47" s="360">
        <v>0</v>
      </c>
      <c r="AD47" s="360">
        <v>0</v>
      </c>
      <c r="AE47" s="361">
        <v>0</v>
      </c>
      <c r="AF47" s="359">
        <v>11.490205733004588</v>
      </c>
      <c r="AG47" s="360">
        <v>0</v>
      </c>
      <c r="AH47" s="360">
        <v>10.968305186560093</v>
      </c>
      <c r="AI47" s="360">
        <v>0</v>
      </c>
      <c r="AJ47" s="360">
        <v>0</v>
      </c>
      <c r="AK47" s="361">
        <v>0</v>
      </c>
      <c r="AL47" s="228" t="s">
        <v>273</v>
      </c>
      <c r="AM47" s="229" t="s">
        <v>233</v>
      </c>
      <c r="AN47" s="229" t="s">
        <v>276</v>
      </c>
      <c r="AO47" s="229" t="s">
        <v>277</v>
      </c>
      <c r="AP47" s="229" t="s">
        <v>302</v>
      </c>
    </row>
    <row r="48" spans="1:42" ht="12.75" customHeight="1" x14ac:dyDescent="0.15">
      <c r="A48" s="316"/>
      <c r="B48" s="222" t="s">
        <v>319</v>
      </c>
      <c r="C48" s="223" t="s">
        <v>17</v>
      </c>
      <c r="D48" s="356">
        <v>3537427.0076227537</v>
      </c>
      <c r="E48" s="357">
        <v>1804450.7073657999</v>
      </c>
      <c r="F48" s="357">
        <v>2040823.95218436</v>
      </c>
      <c r="G48" s="357">
        <v>1429078.6171206001</v>
      </c>
      <c r="H48" s="358">
        <f t="shared" si="32"/>
        <v>1.0207393324801024E-3</v>
      </c>
      <c r="I48" s="498">
        <v>791.93205370797511</v>
      </c>
      <c r="J48" s="357">
        <v>620.42900659999998</v>
      </c>
      <c r="K48" s="357">
        <v>562.00731212000005</v>
      </c>
      <c r="L48" s="357">
        <v>245.77993499999999</v>
      </c>
      <c r="M48" s="358">
        <f t="shared" si="33"/>
        <v>8.7888555070218973E-4</v>
      </c>
      <c r="N48" s="359">
        <v>0</v>
      </c>
      <c r="O48" s="360">
        <v>0</v>
      </c>
      <c r="P48" s="360">
        <v>0</v>
      </c>
      <c r="Q48" s="360">
        <v>0</v>
      </c>
      <c r="R48" s="361">
        <v>0</v>
      </c>
      <c r="S48" s="362">
        <v>0.675045934633005</v>
      </c>
      <c r="T48" s="363">
        <v>0.76130771520039897</v>
      </c>
      <c r="U48" s="362">
        <v>0.81593459114455802</v>
      </c>
      <c r="V48" s="363">
        <v>0.89428204318175497</v>
      </c>
      <c r="W48" s="359">
        <v>0.69080691960051033</v>
      </c>
      <c r="X48" s="360">
        <v>0</v>
      </c>
      <c r="Y48" s="360">
        <v>0.66542294631796028</v>
      </c>
      <c r="Z48" s="360">
        <v>0.69080691960051033</v>
      </c>
      <c r="AA48" s="360">
        <v>0</v>
      </c>
      <c r="AB48" s="360">
        <v>0.66542294631796028</v>
      </c>
      <c r="AC48" s="360">
        <v>0</v>
      </c>
      <c r="AD48" s="360">
        <v>0</v>
      </c>
      <c r="AE48" s="361">
        <v>0</v>
      </c>
      <c r="AF48" s="359">
        <v>11.269284729695759</v>
      </c>
      <c r="AG48" s="360">
        <v>0</v>
      </c>
      <c r="AH48" s="360">
        <v>12.349515070861797</v>
      </c>
      <c r="AI48" s="360">
        <v>0</v>
      </c>
      <c r="AJ48" s="360">
        <v>0</v>
      </c>
      <c r="AK48" s="361">
        <v>0</v>
      </c>
      <c r="AL48" s="228" t="s">
        <v>283</v>
      </c>
      <c r="AM48" s="229" t="s">
        <v>233</v>
      </c>
      <c r="AN48" s="229" t="s">
        <v>276</v>
      </c>
      <c r="AO48" s="229" t="s">
        <v>277</v>
      </c>
      <c r="AP48" s="229" t="s">
        <v>304</v>
      </c>
    </row>
    <row r="49" spans="1:42" ht="12.75" customHeight="1" x14ac:dyDescent="0.15">
      <c r="A49" s="316"/>
      <c r="B49" s="222" t="s">
        <v>320</v>
      </c>
      <c r="C49" s="223" t="s">
        <v>79</v>
      </c>
      <c r="D49" s="356">
        <v>0</v>
      </c>
      <c r="E49" s="357">
        <v>0</v>
      </c>
      <c r="F49" s="357">
        <v>0</v>
      </c>
      <c r="G49" s="357">
        <v>0</v>
      </c>
      <c r="H49" s="358">
        <f t="shared" si="32"/>
        <v>0</v>
      </c>
      <c r="I49" s="498">
        <v>0</v>
      </c>
      <c r="J49" s="357">
        <v>0</v>
      </c>
      <c r="K49" s="357">
        <v>0</v>
      </c>
      <c r="L49" s="357">
        <v>0</v>
      </c>
      <c r="M49" s="358">
        <f t="shared" si="33"/>
        <v>0</v>
      </c>
      <c r="N49" s="359">
        <v>0</v>
      </c>
      <c r="O49" s="360">
        <v>0</v>
      </c>
      <c r="P49" s="360">
        <v>0</v>
      </c>
      <c r="Q49" s="360">
        <v>0</v>
      </c>
      <c r="R49" s="361">
        <v>0</v>
      </c>
      <c r="S49" s="362">
        <v>0</v>
      </c>
      <c r="T49" s="363">
        <v>0</v>
      </c>
      <c r="U49" s="362">
        <v>0</v>
      </c>
      <c r="V49" s="363">
        <v>0</v>
      </c>
      <c r="W49" s="359">
        <v>0</v>
      </c>
      <c r="X49" s="360">
        <v>0</v>
      </c>
      <c r="Y49" s="360">
        <v>0</v>
      </c>
      <c r="Z49" s="360">
        <v>0</v>
      </c>
      <c r="AA49" s="360">
        <v>0</v>
      </c>
      <c r="AB49" s="360">
        <v>0</v>
      </c>
      <c r="AC49" s="360">
        <v>0</v>
      </c>
      <c r="AD49" s="360">
        <v>0</v>
      </c>
      <c r="AE49" s="361">
        <v>0</v>
      </c>
      <c r="AF49" s="359">
        <v>0</v>
      </c>
      <c r="AG49" s="360">
        <v>0</v>
      </c>
      <c r="AH49" s="360">
        <v>0</v>
      </c>
      <c r="AI49" s="360">
        <v>0</v>
      </c>
      <c r="AJ49" s="360">
        <v>0</v>
      </c>
      <c r="AK49" s="361">
        <v>0</v>
      </c>
      <c r="AL49" s="228" t="s">
        <v>273</v>
      </c>
      <c r="AM49" s="229" t="s">
        <v>233</v>
      </c>
      <c r="AN49" s="229" t="s">
        <v>291</v>
      </c>
      <c r="AO49" s="229" t="s">
        <v>277</v>
      </c>
      <c r="AP49" s="229" t="s">
        <v>308</v>
      </c>
    </row>
    <row r="50" spans="1:42" ht="12.75" customHeight="1" x14ac:dyDescent="0.15">
      <c r="A50" s="385"/>
      <c r="B50" s="222"/>
      <c r="C50" s="237" t="s">
        <v>426</v>
      </c>
      <c r="D50" s="348">
        <f>SUM(D51:D58)</f>
        <v>92249431.153990254</v>
      </c>
      <c r="E50" s="348">
        <f t="shared" ref="E50:G50" si="39">SUM(E51:E58)</f>
        <v>74408277.413320005</v>
      </c>
      <c r="F50" s="348">
        <f t="shared" si="39"/>
        <v>100301791.75</v>
      </c>
      <c r="G50" s="348">
        <f t="shared" si="39"/>
        <v>88698930.062718272</v>
      </c>
      <c r="H50" s="350">
        <f t="shared" si="32"/>
        <v>6.3354447809415224E-2</v>
      </c>
      <c r="I50" s="497">
        <f t="shared" ref="I50" si="40">SUM(I51:I58)</f>
        <v>13731.346078075961</v>
      </c>
      <c r="J50" s="348">
        <f t="shared" ref="J50" si="41">SUM(J51:J58)</f>
        <v>9782.2775160000001</v>
      </c>
      <c r="K50" s="348">
        <f t="shared" ref="K50" si="42">SUM(K51:K58)</f>
        <v>12438.775500000002</v>
      </c>
      <c r="L50" s="348">
        <f t="shared" ref="L50" si="43">SUM(L51:L58)</f>
        <v>9454.5878505579658</v>
      </c>
      <c r="M50" s="350">
        <f t="shared" si="33"/>
        <v>3.3808702283609403E-2</v>
      </c>
      <c r="N50" s="351">
        <v>0</v>
      </c>
      <c r="O50" s="352">
        <v>0</v>
      </c>
      <c r="P50" s="352">
        <v>0</v>
      </c>
      <c r="Q50" s="352">
        <v>0</v>
      </c>
      <c r="R50" s="353">
        <v>0</v>
      </c>
      <c r="S50" s="354">
        <f>AVERAGE(S51:S57)</f>
        <v>1.3807523171284826</v>
      </c>
      <c r="T50" s="355"/>
      <c r="U50" s="354"/>
      <c r="V50" s="355"/>
      <c r="W50" s="351"/>
      <c r="X50" s="352"/>
      <c r="Y50" s="352"/>
      <c r="Z50" s="352"/>
      <c r="AA50" s="352"/>
      <c r="AB50" s="352"/>
      <c r="AC50" s="352"/>
      <c r="AD50" s="352"/>
      <c r="AE50" s="353"/>
      <c r="AF50" s="351"/>
      <c r="AG50" s="352"/>
      <c r="AH50" s="352"/>
      <c r="AI50" s="352"/>
      <c r="AJ50" s="352"/>
      <c r="AK50" s="353"/>
      <c r="AL50" s="238"/>
      <c r="AM50" s="239"/>
      <c r="AN50" s="249"/>
      <c r="AO50" s="249"/>
      <c r="AP50" s="239"/>
    </row>
    <row r="51" spans="1:42" ht="12.75" customHeight="1" x14ac:dyDescent="0.15">
      <c r="A51" s="385"/>
      <c r="B51" s="251" t="s">
        <v>427</v>
      </c>
      <c r="C51" s="241" t="s">
        <v>27</v>
      </c>
      <c r="D51" s="380">
        <v>18089100.000000004</v>
      </c>
      <c r="E51" s="381">
        <v>3862733.7</v>
      </c>
      <c r="F51" s="381">
        <v>19260458.050000001</v>
      </c>
      <c r="G51" s="381">
        <v>14599388.8843309</v>
      </c>
      <c r="H51" s="358">
        <f t="shared" si="32"/>
        <v>1.0427817116482512E-2</v>
      </c>
      <c r="I51" s="499">
        <v>2340.0000000000005</v>
      </c>
      <c r="J51" s="381">
        <v>476.49799999999999</v>
      </c>
      <c r="K51" s="381">
        <v>2419.4120000000003</v>
      </c>
      <c r="L51" s="381">
        <v>2170.5784915015402</v>
      </c>
      <c r="M51" s="358">
        <f t="shared" si="33"/>
        <v>7.7617811756914143E-3</v>
      </c>
      <c r="N51" s="382">
        <v>0</v>
      </c>
      <c r="O51" s="383">
        <v>0</v>
      </c>
      <c r="P51" s="383">
        <v>0</v>
      </c>
      <c r="Q51" s="383">
        <v>0</v>
      </c>
      <c r="R51" s="384">
        <v>0</v>
      </c>
      <c r="S51" s="362">
        <v>1.4049025800653501</v>
      </c>
      <c r="T51" s="363">
        <v>1.1687225801187699</v>
      </c>
      <c r="U51" s="362">
        <v>1.66626709081793</v>
      </c>
      <c r="V51" s="363">
        <v>2.99322592467073</v>
      </c>
      <c r="W51" s="359">
        <v>0.79138747077346538</v>
      </c>
      <c r="X51" s="383">
        <v>0</v>
      </c>
      <c r="Y51" s="360">
        <v>0.68080636673574835</v>
      </c>
      <c r="Z51" s="383">
        <v>0.79138747077346538</v>
      </c>
      <c r="AA51" s="383">
        <v>0</v>
      </c>
      <c r="AB51" s="360">
        <v>0.68080636673574835</v>
      </c>
      <c r="AC51" s="383">
        <v>0</v>
      </c>
      <c r="AD51" s="383">
        <v>0</v>
      </c>
      <c r="AE51" s="384">
        <v>0</v>
      </c>
      <c r="AF51" s="359">
        <v>9.351460202912774</v>
      </c>
      <c r="AG51" s="383">
        <v>0</v>
      </c>
      <c r="AH51" s="360">
        <v>11.779051129826364</v>
      </c>
      <c r="AI51" s="383">
        <v>0</v>
      </c>
      <c r="AJ51" s="383">
        <v>0</v>
      </c>
      <c r="AK51" s="384">
        <v>0</v>
      </c>
      <c r="AL51" s="252" t="s">
        <v>373</v>
      </c>
      <c r="AM51" s="253" t="s">
        <v>233</v>
      </c>
      <c r="AN51" s="253" t="s">
        <v>276</v>
      </c>
      <c r="AO51" s="253" t="s">
        <v>277</v>
      </c>
      <c r="AP51" s="253" t="s">
        <v>374</v>
      </c>
    </row>
    <row r="52" spans="1:42" ht="12.75" customHeight="1" x14ac:dyDescent="0.15">
      <c r="A52" s="385"/>
      <c r="B52" s="251" t="s">
        <v>428</v>
      </c>
      <c r="C52" s="241" t="s">
        <v>28</v>
      </c>
      <c r="D52" s="380">
        <v>18089100</v>
      </c>
      <c r="E52" s="381">
        <v>33683954.219999999</v>
      </c>
      <c r="F52" s="381">
        <v>15020990.66</v>
      </c>
      <c r="G52" s="381">
        <v>29969578.538721401</v>
      </c>
      <c r="H52" s="358">
        <f t="shared" si="32"/>
        <v>2.1406189432713971E-2</v>
      </c>
      <c r="I52" s="499">
        <v>3330</v>
      </c>
      <c r="J52" s="381">
        <v>4853.9610000000002</v>
      </c>
      <c r="K52" s="381">
        <v>2060.806</v>
      </c>
      <c r="L52" s="381">
        <v>3178.6142316229302</v>
      </c>
      <c r="M52" s="358">
        <f t="shared" si="33"/>
        <v>1.1366420612934643E-2</v>
      </c>
      <c r="N52" s="382">
        <v>0</v>
      </c>
      <c r="O52" s="383">
        <v>0</v>
      </c>
      <c r="P52" s="383">
        <v>0</v>
      </c>
      <c r="Q52" s="383">
        <v>0</v>
      </c>
      <c r="R52" s="384">
        <v>0</v>
      </c>
      <c r="S52" s="362">
        <v>2.09401955548614</v>
      </c>
      <c r="T52" s="363">
        <v>1.88058710851063</v>
      </c>
      <c r="U52" s="362">
        <v>4.1879681143485801</v>
      </c>
      <c r="V52" s="363">
        <v>3.4839105695809902</v>
      </c>
      <c r="W52" s="359">
        <v>0.79583604079133863</v>
      </c>
      <c r="X52" s="383">
        <v>0</v>
      </c>
      <c r="Y52" s="360">
        <v>0.74137143541853479</v>
      </c>
      <c r="Z52" s="383">
        <v>0.79583604079133863</v>
      </c>
      <c r="AA52" s="383">
        <v>0</v>
      </c>
      <c r="AB52" s="360">
        <v>0.74137143541853479</v>
      </c>
      <c r="AC52" s="383">
        <v>0</v>
      </c>
      <c r="AD52" s="383">
        <v>0</v>
      </c>
      <c r="AE52" s="384">
        <v>0</v>
      </c>
      <c r="AF52" s="359">
        <v>12.688823541817882</v>
      </c>
      <c r="AG52" s="383">
        <v>0</v>
      </c>
      <c r="AH52" s="360">
        <v>9.5411451708818529</v>
      </c>
      <c r="AI52" s="383">
        <v>0</v>
      </c>
      <c r="AJ52" s="383">
        <v>0</v>
      </c>
      <c r="AK52" s="384">
        <v>0</v>
      </c>
      <c r="AL52" s="252" t="s">
        <v>373</v>
      </c>
      <c r="AM52" s="253" t="s">
        <v>233</v>
      </c>
      <c r="AN52" s="253" t="s">
        <v>276</v>
      </c>
      <c r="AO52" s="253" t="s">
        <v>277</v>
      </c>
      <c r="AP52" s="253" t="s">
        <v>374</v>
      </c>
    </row>
    <row r="53" spans="1:42" ht="12.75" customHeight="1" x14ac:dyDescent="0.15">
      <c r="A53" s="385"/>
      <c r="B53" s="251" t="s">
        <v>429</v>
      </c>
      <c r="C53" s="241" t="s">
        <v>29</v>
      </c>
      <c r="D53" s="380">
        <v>22607431.153990258</v>
      </c>
      <c r="E53" s="381">
        <v>17225005.553320002</v>
      </c>
      <c r="F53" s="381">
        <v>44831693.68</v>
      </c>
      <c r="G53" s="381">
        <v>15581435.0974677</v>
      </c>
      <c r="H53" s="358">
        <f t="shared" si="32"/>
        <v>1.1129257320018406E-2</v>
      </c>
      <c r="I53" s="499">
        <v>3268.8460780759615</v>
      </c>
      <c r="J53" s="381">
        <v>2199.5145160000002</v>
      </c>
      <c r="K53" s="381">
        <v>5114.5740000000005</v>
      </c>
      <c r="L53" s="381">
        <v>998.44002365358199</v>
      </c>
      <c r="M53" s="358">
        <f t="shared" si="33"/>
        <v>3.5703260725163987E-3</v>
      </c>
      <c r="N53" s="382">
        <v>0</v>
      </c>
      <c r="O53" s="383">
        <v>0</v>
      </c>
      <c r="P53" s="383">
        <v>0</v>
      </c>
      <c r="Q53" s="383">
        <v>0</v>
      </c>
      <c r="R53" s="384">
        <v>0</v>
      </c>
      <c r="S53" s="362">
        <v>1.61773515023819</v>
      </c>
      <c r="T53" s="363">
        <v>1.2576675828364099</v>
      </c>
      <c r="U53" s="362">
        <v>2.1039679190887899</v>
      </c>
      <c r="V53" s="363">
        <v>1.7175929584487399</v>
      </c>
      <c r="W53" s="359">
        <v>0.74494189223482676</v>
      </c>
      <c r="X53" s="383">
        <v>0</v>
      </c>
      <c r="Y53" s="360">
        <v>0.6548020343801807</v>
      </c>
      <c r="Z53" s="383">
        <v>0.74494189223482676</v>
      </c>
      <c r="AA53" s="383">
        <v>0</v>
      </c>
      <c r="AB53" s="360">
        <v>0.6548020343801807</v>
      </c>
      <c r="AC53" s="383">
        <v>0</v>
      </c>
      <c r="AD53" s="383">
        <v>0</v>
      </c>
      <c r="AE53" s="384">
        <v>0</v>
      </c>
      <c r="AF53" s="359">
        <v>10.526103899156855</v>
      </c>
      <c r="AG53" s="383">
        <v>0</v>
      </c>
      <c r="AH53" s="360">
        <v>4.9513887980175335</v>
      </c>
      <c r="AI53" s="383">
        <v>0</v>
      </c>
      <c r="AJ53" s="383">
        <v>0</v>
      </c>
      <c r="AK53" s="384">
        <v>0</v>
      </c>
      <c r="AL53" s="252" t="s">
        <v>373</v>
      </c>
      <c r="AM53" s="253" t="s">
        <v>233</v>
      </c>
      <c r="AN53" s="253" t="s">
        <v>276</v>
      </c>
      <c r="AO53" s="253" t="s">
        <v>277</v>
      </c>
      <c r="AP53" s="253" t="s">
        <v>374</v>
      </c>
    </row>
    <row r="54" spans="1:42" ht="12.75" customHeight="1" x14ac:dyDescent="0.15">
      <c r="A54" s="385"/>
      <c r="B54" s="251" t="s">
        <v>430</v>
      </c>
      <c r="C54" s="241" t="s">
        <v>30</v>
      </c>
      <c r="D54" s="380">
        <v>10853100</v>
      </c>
      <c r="E54" s="381">
        <v>9466215.3900000006</v>
      </c>
      <c r="F54" s="381">
        <v>5650960.6799999997</v>
      </c>
      <c r="G54" s="381">
        <v>7784320.1458977303</v>
      </c>
      <c r="H54" s="358">
        <f t="shared" si="32"/>
        <v>5.5600592258141105E-3</v>
      </c>
      <c r="I54" s="499">
        <v>1529.9999999999995</v>
      </c>
      <c r="J54" s="381">
        <v>1022.0940000000001</v>
      </c>
      <c r="K54" s="381">
        <v>707.65</v>
      </c>
      <c r="L54" s="381">
        <v>611.29435525913402</v>
      </c>
      <c r="M54" s="358">
        <f t="shared" si="33"/>
        <v>2.1859301739300405E-3</v>
      </c>
      <c r="N54" s="382">
        <v>0</v>
      </c>
      <c r="O54" s="383">
        <v>0</v>
      </c>
      <c r="P54" s="383">
        <v>0</v>
      </c>
      <c r="Q54" s="383">
        <v>0</v>
      </c>
      <c r="R54" s="384">
        <v>0</v>
      </c>
      <c r="S54" s="362">
        <v>1.40768587333359</v>
      </c>
      <c r="T54" s="363">
        <v>1.52717229743432</v>
      </c>
      <c r="U54" s="362">
        <v>2.4285984584870102</v>
      </c>
      <c r="V54" s="363">
        <v>2.1416301656957599</v>
      </c>
      <c r="W54" s="359">
        <v>0.66644560485726489</v>
      </c>
      <c r="X54" s="383">
        <v>0</v>
      </c>
      <c r="Y54" s="360">
        <v>0.65800751503334609</v>
      </c>
      <c r="Z54" s="383">
        <v>0.66644560485726489</v>
      </c>
      <c r="AA54" s="383">
        <v>0</v>
      </c>
      <c r="AB54" s="360">
        <v>0.65800751503334609</v>
      </c>
      <c r="AC54" s="383">
        <v>0</v>
      </c>
      <c r="AD54" s="383">
        <v>0</v>
      </c>
      <c r="AE54" s="384">
        <v>0</v>
      </c>
      <c r="AF54" s="359">
        <v>14.605999439761327</v>
      </c>
      <c r="AG54" s="383">
        <v>0</v>
      </c>
      <c r="AH54" s="360">
        <v>10.651225006284831</v>
      </c>
      <c r="AI54" s="383">
        <v>0</v>
      </c>
      <c r="AJ54" s="383">
        <v>0</v>
      </c>
      <c r="AK54" s="384">
        <v>0</v>
      </c>
      <c r="AL54" s="252" t="s">
        <v>373</v>
      </c>
      <c r="AM54" s="253" t="s">
        <v>233</v>
      </c>
      <c r="AN54" s="253" t="s">
        <v>276</v>
      </c>
      <c r="AO54" s="253" t="s">
        <v>277</v>
      </c>
      <c r="AP54" s="253" t="s">
        <v>374</v>
      </c>
    </row>
    <row r="55" spans="1:42" ht="12.75" customHeight="1" x14ac:dyDescent="0.15">
      <c r="A55" s="385"/>
      <c r="B55" s="251" t="s">
        <v>431</v>
      </c>
      <c r="C55" s="241" t="s">
        <v>31</v>
      </c>
      <c r="D55" s="380">
        <v>4521600</v>
      </c>
      <c r="E55" s="381">
        <v>1291109.67</v>
      </c>
      <c r="F55" s="381">
        <v>10147491.719999999</v>
      </c>
      <c r="G55" s="381">
        <v>9061967.2131147496</v>
      </c>
      <c r="H55" s="358">
        <f t="shared" si="32"/>
        <v>6.4726364618824346E-3</v>
      </c>
      <c r="I55" s="499">
        <v>549</v>
      </c>
      <c r="J55" s="381">
        <v>178.83</v>
      </c>
      <c r="K55" s="381">
        <v>1207.6410000000001</v>
      </c>
      <c r="L55" s="381">
        <v>535.03981264637002</v>
      </c>
      <c r="M55" s="358">
        <f t="shared" si="33"/>
        <v>1.9132512195729132E-3</v>
      </c>
      <c r="N55" s="382">
        <v>0</v>
      </c>
      <c r="O55" s="383">
        <v>0</v>
      </c>
      <c r="P55" s="383">
        <v>0</v>
      </c>
      <c r="Q55" s="383">
        <v>0</v>
      </c>
      <c r="R55" s="384">
        <v>0</v>
      </c>
      <c r="S55" s="362">
        <v>0.83986423936472598</v>
      </c>
      <c r="T55" s="363">
        <v>1.23939201785242</v>
      </c>
      <c r="U55" s="362">
        <v>0.96404114479381198</v>
      </c>
      <c r="V55" s="363">
        <v>1.6716958089007501</v>
      </c>
      <c r="W55" s="359">
        <v>0.75861422362666064</v>
      </c>
      <c r="X55" s="383">
        <v>0</v>
      </c>
      <c r="Y55" s="360">
        <v>0.65000002384185773</v>
      </c>
      <c r="Z55" s="383">
        <v>0.75861422362666064</v>
      </c>
      <c r="AA55" s="383">
        <v>0</v>
      </c>
      <c r="AB55" s="360">
        <v>0.65000002384185773</v>
      </c>
      <c r="AC55" s="383">
        <v>0</v>
      </c>
      <c r="AD55" s="383">
        <v>0</v>
      </c>
      <c r="AE55" s="384">
        <v>0</v>
      </c>
      <c r="AF55" s="359">
        <v>10.878319043183989</v>
      </c>
      <c r="AG55" s="383">
        <v>0</v>
      </c>
      <c r="AH55" s="360">
        <v>5.5242591989579921</v>
      </c>
      <c r="AI55" s="383">
        <v>0</v>
      </c>
      <c r="AJ55" s="383">
        <v>0</v>
      </c>
      <c r="AK55" s="384">
        <v>0</v>
      </c>
      <c r="AL55" s="252" t="s">
        <v>373</v>
      </c>
      <c r="AM55" s="253" t="s">
        <v>233</v>
      </c>
      <c r="AN55" s="253" t="s">
        <v>276</v>
      </c>
      <c r="AO55" s="253" t="s">
        <v>277</v>
      </c>
      <c r="AP55" s="253" t="s">
        <v>374</v>
      </c>
    </row>
    <row r="56" spans="1:42" ht="12.75" customHeight="1" x14ac:dyDescent="0.15">
      <c r="A56" s="385"/>
      <c r="B56" s="251" t="s">
        <v>432</v>
      </c>
      <c r="C56" s="241" t="s">
        <v>32</v>
      </c>
      <c r="D56" s="380">
        <v>18089100</v>
      </c>
      <c r="E56" s="381">
        <v>8243301.5999999996</v>
      </c>
      <c r="F56" s="381">
        <v>4963318.54</v>
      </c>
      <c r="G56" s="381">
        <v>6171187.5</v>
      </c>
      <c r="H56" s="358">
        <f t="shared" si="32"/>
        <v>4.4078567364275135E-3</v>
      </c>
      <c r="I56" s="499">
        <v>2713.5</v>
      </c>
      <c r="J56" s="381">
        <v>954.126000000001</v>
      </c>
      <c r="K56" s="381">
        <v>603.68900000000008</v>
      </c>
      <c r="L56" s="381">
        <v>678.54375000000005</v>
      </c>
      <c r="M56" s="358">
        <f t="shared" si="33"/>
        <v>2.4264075804002428E-3</v>
      </c>
      <c r="N56" s="382">
        <v>0</v>
      </c>
      <c r="O56" s="383">
        <v>0</v>
      </c>
      <c r="P56" s="383">
        <v>0</v>
      </c>
      <c r="Q56" s="383">
        <v>0</v>
      </c>
      <c r="R56" s="384">
        <v>0</v>
      </c>
      <c r="S56" s="362">
        <v>1.32153048059429</v>
      </c>
      <c r="T56" s="363">
        <v>2.2669793941222101</v>
      </c>
      <c r="U56" s="362">
        <v>2.5203530247403898</v>
      </c>
      <c r="V56" s="363">
        <v>2.7527980790898701</v>
      </c>
      <c r="W56" s="359">
        <v>0.63933064066444323</v>
      </c>
      <c r="X56" s="383">
        <v>0</v>
      </c>
      <c r="Y56" s="360">
        <v>0.68522014752873894</v>
      </c>
      <c r="Z56" s="383">
        <v>0.63933064066444323</v>
      </c>
      <c r="AA56" s="383">
        <v>0</v>
      </c>
      <c r="AB56" s="360">
        <v>0.68522014752873894</v>
      </c>
      <c r="AC56" s="383">
        <v>0</v>
      </c>
      <c r="AD56" s="383">
        <v>0</v>
      </c>
      <c r="AE56" s="384">
        <v>0</v>
      </c>
      <c r="AF56" s="359">
        <v>11.104278388649519</v>
      </c>
      <c r="AG56" s="383">
        <v>0</v>
      </c>
      <c r="AH56" s="360">
        <v>7.486801253834301</v>
      </c>
      <c r="AI56" s="383">
        <v>0</v>
      </c>
      <c r="AJ56" s="383">
        <v>0</v>
      </c>
      <c r="AK56" s="384">
        <v>0</v>
      </c>
      <c r="AL56" s="252" t="s">
        <v>373</v>
      </c>
      <c r="AM56" s="253" t="s">
        <v>233</v>
      </c>
      <c r="AN56" s="253" t="s">
        <v>276</v>
      </c>
      <c r="AO56" s="253" t="s">
        <v>277</v>
      </c>
      <c r="AP56" s="253" t="s">
        <v>374</v>
      </c>
    </row>
    <row r="57" spans="1:42" ht="12.75" customHeight="1" x14ac:dyDescent="0.15">
      <c r="A57" s="385"/>
      <c r="B57" s="251" t="s">
        <v>433</v>
      </c>
      <c r="C57" s="241" t="s">
        <v>434</v>
      </c>
      <c r="D57" s="380">
        <v>0</v>
      </c>
      <c r="E57" s="381">
        <v>635957.28</v>
      </c>
      <c r="F57" s="381">
        <v>426878.42000000004</v>
      </c>
      <c r="G57" s="381">
        <v>0</v>
      </c>
      <c r="H57" s="358">
        <f t="shared" si="32"/>
        <v>0</v>
      </c>
      <c r="I57" s="499">
        <v>0</v>
      </c>
      <c r="J57" s="381">
        <v>97.254000000000104</v>
      </c>
      <c r="K57" s="381">
        <v>325.00350000000003</v>
      </c>
      <c r="L57" s="381">
        <v>0</v>
      </c>
      <c r="M57" s="358">
        <f t="shared" si="33"/>
        <v>0</v>
      </c>
      <c r="N57" s="382">
        <v>0</v>
      </c>
      <c r="O57" s="383">
        <v>0</v>
      </c>
      <c r="P57" s="383">
        <v>0</v>
      </c>
      <c r="Q57" s="383">
        <v>0</v>
      </c>
      <c r="R57" s="384">
        <v>0</v>
      </c>
      <c r="S57" s="362">
        <v>0.97952834081709195</v>
      </c>
      <c r="T57" s="363">
        <v>0</v>
      </c>
      <c r="U57" s="362">
        <v>1.4767113925067199</v>
      </c>
      <c r="V57" s="363">
        <v>0</v>
      </c>
      <c r="W57" s="359">
        <v>0.65000002384185773</v>
      </c>
      <c r="X57" s="383">
        <v>0</v>
      </c>
      <c r="Y57" s="383">
        <v>0</v>
      </c>
      <c r="Z57" s="383">
        <v>0.65000002384185773</v>
      </c>
      <c r="AA57" s="383">
        <v>0</v>
      </c>
      <c r="AB57" s="360">
        <v>0</v>
      </c>
      <c r="AC57" s="383">
        <v>0</v>
      </c>
      <c r="AD57" s="383">
        <v>0</v>
      </c>
      <c r="AE57" s="384">
        <v>0</v>
      </c>
      <c r="AF57" s="359">
        <v>16.453607544204857</v>
      </c>
      <c r="AG57" s="383">
        <v>0</v>
      </c>
      <c r="AH57" s="360">
        <v>0</v>
      </c>
      <c r="AI57" s="383">
        <v>0</v>
      </c>
      <c r="AJ57" s="383">
        <v>0</v>
      </c>
      <c r="AK57" s="384">
        <v>0</v>
      </c>
      <c r="AL57" s="252" t="s">
        <v>373</v>
      </c>
      <c r="AM57" s="253" t="s">
        <v>233</v>
      </c>
      <c r="AN57" s="253" t="s">
        <v>276</v>
      </c>
      <c r="AO57" s="253" t="s">
        <v>288</v>
      </c>
      <c r="AP57" s="253" t="s">
        <v>374</v>
      </c>
    </row>
    <row r="58" spans="1:42" ht="12.75" customHeight="1" x14ac:dyDescent="0.15">
      <c r="A58" s="385"/>
      <c r="B58" s="251" t="s">
        <v>435</v>
      </c>
      <c r="C58" s="241" t="s">
        <v>436</v>
      </c>
      <c r="D58" s="380">
        <v>0</v>
      </c>
      <c r="E58" s="381">
        <v>0</v>
      </c>
      <c r="F58" s="381">
        <v>0</v>
      </c>
      <c r="G58" s="381">
        <v>5531052.6831857804</v>
      </c>
      <c r="H58" s="358">
        <f t="shared" si="32"/>
        <v>3.9506315160762681E-3</v>
      </c>
      <c r="I58" s="499">
        <v>0</v>
      </c>
      <c r="J58" s="381">
        <v>0</v>
      </c>
      <c r="K58" s="381">
        <v>0</v>
      </c>
      <c r="L58" s="381">
        <v>1282.0771858744099</v>
      </c>
      <c r="M58" s="358">
        <f t="shared" si="33"/>
        <v>4.5845854485637508E-3</v>
      </c>
      <c r="N58" s="382">
        <v>0</v>
      </c>
      <c r="O58" s="383">
        <v>0</v>
      </c>
      <c r="P58" s="383">
        <v>0</v>
      </c>
      <c r="Q58" s="383">
        <v>0</v>
      </c>
      <c r="R58" s="384">
        <v>0</v>
      </c>
      <c r="S58" s="362">
        <v>0</v>
      </c>
      <c r="T58" s="363">
        <v>1.21232397505814</v>
      </c>
      <c r="U58" s="362">
        <v>0</v>
      </c>
      <c r="V58" s="363">
        <v>2.87426341703538</v>
      </c>
      <c r="W58" s="382">
        <v>0</v>
      </c>
      <c r="X58" s="383">
        <v>0</v>
      </c>
      <c r="Y58" s="360">
        <v>0.77778809959580208</v>
      </c>
      <c r="Z58" s="383">
        <v>0</v>
      </c>
      <c r="AA58" s="383">
        <v>0</v>
      </c>
      <c r="AB58" s="360">
        <v>0.77778809959580208</v>
      </c>
      <c r="AC58" s="383">
        <v>0</v>
      </c>
      <c r="AD58" s="383">
        <v>0</v>
      </c>
      <c r="AE58" s="384">
        <v>0</v>
      </c>
      <c r="AF58" s="359">
        <v>0</v>
      </c>
      <c r="AG58" s="383">
        <v>0</v>
      </c>
      <c r="AH58" s="360">
        <v>10.73018220742121</v>
      </c>
      <c r="AI58" s="383">
        <v>0</v>
      </c>
      <c r="AJ58" s="383">
        <v>0</v>
      </c>
      <c r="AK58" s="384">
        <v>0</v>
      </c>
      <c r="AL58" s="252" t="s">
        <v>373</v>
      </c>
      <c r="AM58" s="253" t="s">
        <v>233</v>
      </c>
      <c r="AN58" s="253" t="s">
        <v>276</v>
      </c>
      <c r="AO58" s="253" t="s">
        <v>294</v>
      </c>
      <c r="AP58" s="253" t="s">
        <v>374</v>
      </c>
    </row>
    <row r="59" spans="1:42" ht="12.75" customHeight="1" x14ac:dyDescent="0.15">
      <c r="A59" s="316"/>
      <c r="B59" s="236" t="s">
        <v>321</v>
      </c>
      <c r="C59" s="237" t="s">
        <v>322</v>
      </c>
      <c r="D59" s="348">
        <f>SUM(D60:D63)</f>
        <v>14391814.723786514</v>
      </c>
      <c r="E59" s="348">
        <f t="shared" ref="E59:G59" si="44">SUM(E60:E63)</f>
        <v>35988456.662262999</v>
      </c>
      <c r="F59" s="348">
        <f t="shared" si="44"/>
        <v>8425712.7160999998</v>
      </c>
      <c r="G59" s="348">
        <f t="shared" si="44"/>
        <v>3056925.2127</v>
      </c>
      <c r="H59" s="350">
        <f t="shared" si="32"/>
        <v>2.1834514656303675E-3</v>
      </c>
      <c r="I59" s="497">
        <f t="shared" ref="I59" si="45">SUM(I60:I63)</f>
        <v>2855.7563819232396</v>
      </c>
      <c r="J59" s="348">
        <f t="shared" ref="J59" si="46">SUM(J60:J63)</f>
        <v>7321.2355929000005</v>
      </c>
      <c r="K59" s="348">
        <f t="shared" ref="K59" si="47">SUM(K60:K63)</f>
        <v>997.73834750000003</v>
      </c>
      <c r="L59" s="348">
        <f t="shared" ref="L59" si="48">SUM(L60:L63)</f>
        <v>614.94092213361</v>
      </c>
      <c r="M59" s="350">
        <f t="shared" si="33"/>
        <v>2.1989699484569812E-3</v>
      </c>
      <c r="N59" s="351">
        <v>0</v>
      </c>
      <c r="O59" s="352">
        <v>0</v>
      </c>
      <c r="P59" s="352">
        <v>0</v>
      </c>
      <c r="Q59" s="352">
        <v>0</v>
      </c>
      <c r="R59" s="353">
        <v>0</v>
      </c>
      <c r="S59" s="354">
        <f>AVERAGE(S60:S62)</f>
        <v>2.147301193830907</v>
      </c>
      <c r="T59" s="355"/>
      <c r="U59" s="354"/>
      <c r="V59" s="355"/>
      <c r="W59" s="351"/>
      <c r="X59" s="352"/>
      <c r="Y59" s="352"/>
      <c r="Z59" s="352"/>
      <c r="AA59" s="352"/>
      <c r="AB59" s="352"/>
      <c r="AC59" s="352"/>
      <c r="AD59" s="352"/>
      <c r="AE59" s="353"/>
      <c r="AF59" s="351"/>
      <c r="AG59" s="352"/>
      <c r="AH59" s="352"/>
      <c r="AI59" s="352"/>
      <c r="AJ59" s="352"/>
      <c r="AK59" s="353"/>
      <c r="AL59" s="238" t="s">
        <v>273</v>
      </c>
      <c r="AM59" s="239" t="s">
        <v>230</v>
      </c>
      <c r="AN59" s="239"/>
      <c r="AO59" s="239"/>
      <c r="AP59" s="239" t="s">
        <v>323</v>
      </c>
    </row>
    <row r="60" spans="1:42" ht="12.75" customHeight="1" x14ac:dyDescent="0.15">
      <c r="A60" s="316"/>
      <c r="B60" s="222" t="s">
        <v>324</v>
      </c>
      <c r="C60" s="223" t="s">
        <v>80</v>
      </c>
      <c r="D60" s="356">
        <v>9000000</v>
      </c>
      <c r="E60" s="357">
        <v>14872912.06401</v>
      </c>
      <c r="F60" s="357">
        <v>0</v>
      </c>
      <c r="G60" s="357">
        <v>0</v>
      </c>
      <c r="H60" s="358">
        <f t="shared" si="32"/>
        <v>0</v>
      </c>
      <c r="I60" s="498">
        <v>2076.3000000000006</v>
      </c>
      <c r="J60" s="357">
        <v>3102.2940383999999</v>
      </c>
      <c r="K60" s="357">
        <v>0</v>
      </c>
      <c r="L60" s="357">
        <v>0</v>
      </c>
      <c r="M60" s="358">
        <f t="shared" si="33"/>
        <v>0</v>
      </c>
      <c r="N60" s="359">
        <v>0</v>
      </c>
      <c r="O60" s="360">
        <v>0</v>
      </c>
      <c r="P60" s="360">
        <v>0</v>
      </c>
      <c r="Q60" s="360">
        <v>0</v>
      </c>
      <c r="R60" s="361">
        <v>0</v>
      </c>
      <c r="S60" s="362">
        <v>4.3607484031244903</v>
      </c>
      <c r="T60" s="363">
        <v>0</v>
      </c>
      <c r="U60" s="362">
        <v>4.3607484031244903</v>
      </c>
      <c r="V60" s="363">
        <v>0</v>
      </c>
      <c r="W60" s="359">
        <v>0.69080615471527684</v>
      </c>
      <c r="X60" s="360">
        <v>0</v>
      </c>
      <c r="Y60" s="360">
        <v>0</v>
      </c>
      <c r="Z60" s="360">
        <v>0.69080615471527684</v>
      </c>
      <c r="AA60" s="360">
        <v>0</v>
      </c>
      <c r="AB60" s="360">
        <v>0</v>
      </c>
      <c r="AC60" s="360">
        <v>0</v>
      </c>
      <c r="AD60" s="360">
        <v>0</v>
      </c>
      <c r="AE60" s="361">
        <v>0</v>
      </c>
      <c r="AF60" s="359">
        <v>7.1999999999999842</v>
      </c>
      <c r="AG60" s="360">
        <v>0</v>
      </c>
      <c r="AH60" s="360">
        <v>0</v>
      </c>
      <c r="AI60" s="360">
        <v>0</v>
      </c>
      <c r="AJ60" s="360">
        <v>0</v>
      </c>
      <c r="AK60" s="361">
        <v>0</v>
      </c>
      <c r="AL60" s="228" t="s">
        <v>273</v>
      </c>
      <c r="AM60" s="229" t="s">
        <v>230</v>
      </c>
      <c r="AN60" s="229" t="s">
        <v>291</v>
      </c>
      <c r="AO60" s="229" t="s">
        <v>277</v>
      </c>
      <c r="AP60" s="229" t="s">
        <v>278</v>
      </c>
    </row>
    <row r="61" spans="1:42" ht="12.75" customHeight="1" x14ac:dyDescent="0.15">
      <c r="A61" s="316"/>
      <c r="B61" s="222" t="s">
        <v>325</v>
      </c>
      <c r="C61" s="223" t="s">
        <v>18</v>
      </c>
      <c r="D61" s="356">
        <v>2679376.8829380157</v>
      </c>
      <c r="E61" s="357">
        <v>13052460.6</v>
      </c>
      <c r="F61" s="357">
        <v>8113530.6200000001</v>
      </c>
      <c r="G61" s="357">
        <v>3043005.2127</v>
      </c>
      <c r="H61" s="358">
        <f t="shared" si="32"/>
        <v>2.1735089114994048E-3</v>
      </c>
      <c r="I61" s="498">
        <v>360.87690761453888</v>
      </c>
      <c r="J61" s="357">
        <v>2190.4227000000001</v>
      </c>
      <c r="K61" s="357">
        <v>943.04399999999998</v>
      </c>
      <c r="L61" s="357">
        <v>611.79392213360995</v>
      </c>
      <c r="M61" s="358">
        <f t="shared" si="33"/>
        <v>2.1877165773139715E-3</v>
      </c>
      <c r="N61" s="359">
        <v>0</v>
      </c>
      <c r="O61" s="360">
        <v>0</v>
      </c>
      <c r="P61" s="360">
        <v>0</v>
      </c>
      <c r="Q61" s="360">
        <v>0</v>
      </c>
      <c r="R61" s="361">
        <v>0</v>
      </c>
      <c r="S61" s="362">
        <v>1.1052078858873899</v>
      </c>
      <c r="T61" s="363">
        <v>0.79626029399787601</v>
      </c>
      <c r="U61" s="362">
        <v>3.1743132184812799</v>
      </c>
      <c r="V61" s="363">
        <v>1.30189372810783</v>
      </c>
      <c r="W61" s="359">
        <v>0.81312428495257827</v>
      </c>
      <c r="X61" s="360">
        <v>0</v>
      </c>
      <c r="Y61" s="360">
        <v>0.71102671239659754</v>
      </c>
      <c r="Z61" s="360">
        <v>0.81312428495257827</v>
      </c>
      <c r="AA61" s="360">
        <v>0</v>
      </c>
      <c r="AB61" s="360">
        <v>0.71102671239659754</v>
      </c>
      <c r="AC61" s="360">
        <v>0</v>
      </c>
      <c r="AD61" s="360">
        <v>0</v>
      </c>
      <c r="AE61" s="361">
        <v>0</v>
      </c>
      <c r="AF61" s="359">
        <v>8.8699674089208731</v>
      </c>
      <c r="AG61" s="360">
        <v>0</v>
      </c>
      <c r="AH61" s="360">
        <v>7.1947269113893411</v>
      </c>
      <c r="AI61" s="360">
        <v>0</v>
      </c>
      <c r="AJ61" s="360">
        <v>0</v>
      </c>
      <c r="AK61" s="361">
        <v>0</v>
      </c>
      <c r="AL61" s="228" t="s">
        <v>273</v>
      </c>
      <c r="AM61" s="229" t="s">
        <v>230</v>
      </c>
      <c r="AN61" s="229" t="s">
        <v>276</v>
      </c>
      <c r="AO61" s="229" t="s">
        <v>277</v>
      </c>
      <c r="AP61" s="229" t="s">
        <v>302</v>
      </c>
    </row>
    <row r="62" spans="1:42" ht="12.75" customHeight="1" x14ac:dyDescent="0.15">
      <c r="A62" s="316"/>
      <c r="B62" s="222" t="s">
        <v>326</v>
      </c>
      <c r="C62" s="223" t="s">
        <v>19</v>
      </c>
      <c r="D62" s="356">
        <v>2712437.840848498</v>
      </c>
      <c r="E62" s="357">
        <v>8063083.998253</v>
      </c>
      <c r="F62" s="357">
        <v>312182.09609999997</v>
      </c>
      <c r="G62" s="357">
        <v>13920</v>
      </c>
      <c r="H62" s="358">
        <f t="shared" si="32"/>
        <v>9.9425541309627992E-6</v>
      </c>
      <c r="I62" s="498">
        <v>418.57947430869996</v>
      </c>
      <c r="J62" s="357">
        <v>2028.5188545000001</v>
      </c>
      <c r="K62" s="357">
        <v>54.694347499999999</v>
      </c>
      <c r="L62" s="357">
        <v>3.1469999999999998</v>
      </c>
      <c r="M62" s="358">
        <f t="shared" si="33"/>
        <v>1.1253371143009664E-5</v>
      </c>
      <c r="N62" s="359">
        <v>0</v>
      </c>
      <c r="O62" s="360">
        <v>0</v>
      </c>
      <c r="P62" s="360">
        <v>0</v>
      </c>
      <c r="Q62" s="360">
        <v>0</v>
      </c>
      <c r="R62" s="361">
        <v>0</v>
      </c>
      <c r="S62" s="362">
        <v>0.97594729248084</v>
      </c>
      <c r="T62" s="363">
        <v>6.5289597742982E-2</v>
      </c>
      <c r="U62" s="362">
        <v>1.7613718577189399</v>
      </c>
      <c r="V62" s="363">
        <v>6.5439837161853295E-2</v>
      </c>
      <c r="W62" s="359">
        <v>0.65073197773902625</v>
      </c>
      <c r="X62" s="360">
        <v>0</v>
      </c>
      <c r="Y62" s="360">
        <v>0.73749999254941812</v>
      </c>
      <c r="Z62" s="360">
        <v>0.65073197773902625</v>
      </c>
      <c r="AA62" s="360">
        <v>0</v>
      </c>
      <c r="AB62" s="360">
        <v>0.73749999254941812</v>
      </c>
      <c r="AC62" s="360">
        <v>0</v>
      </c>
      <c r="AD62" s="360">
        <v>0</v>
      </c>
      <c r="AE62" s="361">
        <v>0</v>
      </c>
      <c r="AF62" s="359">
        <v>7.4269044759706135</v>
      </c>
      <c r="AG62" s="360">
        <v>0</v>
      </c>
      <c r="AH62" s="360">
        <v>13.78813553652664</v>
      </c>
      <c r="AI62" s="360">
        <v>0</v>
      </c>
      <c r="AJ62" s="360">
        <v>0</v>
      </c>
      <c r="AK62" s="361">
        <v>0</v>
      </c>
      <c r="AL62" s="228" t="s">
        <v>283</v>
      </c>
      <c r="AM62" s="229" t="s">
        <v>230</v>
      </c>
      <c r="AN62" s="229" t="s">
        <v>276</v>
      </c>
      <c r="AO62" s="229" t="s">
        <v>277</v>
      </c>
      <c r="AP62" s="229" t="s">
        <v>304</v>
      </c>
    </row>
    <row r="63" spans="1:42" ht="12.75" customHeight="1" x14ac:dyDescent="0.15">
      <c r="A63" s="316"/>
      <c r="B63" s="222" t="s">
        <v>327</v>
      </c>
      <c r="C63" s="223" t="s">
        <v>81</v>
      </c>
      <c r="D63" s="356">
        <v>0</v>
      </c>
      <c r="E63" s="357">
        <v>0</v>
      </c>
      <c r="F63" s="357">
        <v>0</v>
      </c>
      <c r="G63" s="357">
        <v>0</v>
      </c>
      <c r="H63" s="358">
        <f t="shared" si="32"/>
        <v>0</v>
      </c>
      <c r="I63" s="498">
        <v>0</v>
      </c>
      <c r="J63" s="357">
        <v>0</v>
      </c>
      <c r="K63" s="357">
        <v>0</v>
      </c>
      <c r="L63" s="357">
        <v>0</v>
      </c>
      <c r="M63" s="358">
        <f t="shared" si="33"/>
        <v>0</v>
      </c>
      <c r="N63" s="359">
        <v>0</v>
      </c>
      <c r="O63" s="360">
        <v>0</v>
      </c>
      <c r="P63" s="360">
        <v>0</v>
      </c>
      <c r="Q63" s="360">
        <v>0</v>
      </c>
      <c r="R63" s="361">
        <v>0</v>
      </c>
      <c r="S63" s="362">
        <v>0</v>
      </c>
      <c r="T63" s="363">
        <v>0</v>
      </c>
      <c r="U63" s="362">
        <v>0</v>
      </c>
      <c r="V63" s="363">
        <v>0</v>
      </c>
      <c r="W63" s="359">
        <v>0</v>
      </c>
      <c r="X63" s="360">
        <v>0</v>
      </c>
      <c r="Y63" s="360">
        <v>0</v>
      </c>
      <c r="Z63" s="360">
        <v>0</v>
      </c>
      <c r="AA63" s="360">
        <v>0</v>
      </c>
      <c r="AB63" s="360">
        <v>0</v>
      </c>
      <c r="AC63" s="360">
        <v>0</v>
      </c>
      <c r="AD63" s="360">
        <v>0</v>
      </c>
      <c r="AE63" s="361">
        <v>0</v>
      </c>
      <c r="AF63" s="359">
        <v>0</v>
      </c>
      <c r="AG63" s="360">
        <v>0</v>
      </c>
      <c r="AH63" s="360">
        <v>0</v>
      </c>
      <c r="AI63" s="360">
        <v>0</v>
      </c>
      <c r="AJ63" s="360">
        <v>0</v>
      </c>
      <c r="AK63" s="361">
        <v>0</v>
      </c>
      <c r="AL63" s="228" t="s">
        <v>273</v>
      </c>
      <c r="AM63" s="229" t="s">
        <v>230</v>
      </c>
      <c r="AN63" s="229" t="s">
        <v>291</v>
      </c>
      <c r="AO63" s="229" t="s">
        <v>277</v>
      </c>
      <c r="AP63" s="229" t="s">
        <v>308</v>
      </c>
    </row>
    <row r="64" spans="1:42" s="369" customFormat="1" ht="12.75" customHeight="1" x14ac:dyDescent="0.15">
      <c r="A64" s="202"/>
      <c r="B64" s="236" t="s">
        <v>338</v>
      </c>
      <c r="C64" s="237" t="s">
        <v>339</v>
      </c>
      <c r="D64" s="348">
        <f>SUM(D65:D68)</f>
        <v>0</v>
      </c>
      <c r="E64" s="348">
        <f t="shared" ref="E64:G64" si="49">SUM(E65:E68)</f>
        <v>0</v>
      </c>
      <c r="F64" s="348">
        <f t="shared" si="49"/>
        <v>0</v>
      </c>
      <c r="G64" s="348">
        <f t="shared" si="49"/>
        <v>0</v>
      </c>
      <c r="H64" s="350">
        <f t="shared" si="32"/>
        <v>0</v>
      </c>
      <c r="I64" s="497">
        <f t="shared" ref="I64" si="50">SUM(I65:I68)</f>
        <v>0</v>
      </c>
      <c r="J64" s="348">
        <f t="shared" ref="J64" si="51">SUM(J65:J68)</f>
        <v>0</v>
      </c>
      <c r="K64" s="348">
        <f t="shared" ref="K64" si="52">SUM(K65:K68)</f>
        <v>0</v>
      </c>
      <c r="L64" s="348">
        <f t="shared" ref="L64" si="53">SUM(L65:L68)</f>
        <v>0</v>
      </c>
      <c r="M64" s="350">
        <f t="shared" si="33"/>
        <v>0</v>
      </c>
      <c r="N64" s="351">
        <v>0</v>
      </c>
      <c r="O64" s="352">
        <v>0</v>
      </c>
      <c r="P64" s="352">
        <v>0</v>
      </c>
      <c r="Q64" s="352">
        <v>0</v>
      </c>
      <c r="R64" s="353">
        <v>0</v>
      </c>
      <c r="S64" s="354"/>
      <c r="T64" s="355"/>
      <c r="U64" s="354"/>
      <c r="V64" s="355"/>
      <c r="W64" s="351"/>
      <c r="X64" s="352"/>
      <c r="Y64" s="352"/>
      <c r="Z64" s="352"/>
      <c r="AA64" s="352"/>
      <c r="AB64" s="352"/>
      <c r="AC64" s="352"/>
      <c r="AD64" s="352"/>
      <c r="AE64" s="353"/>
      <c r="AF64" s="351"/>
      <c r="AG64" s="352"/>
      <c r="AH64" s="352"/>
      <c r="AI64" s="352"/>
      <c r="AJ64" s="352"/>
      <c r="AK64" s="353"/>
      <c r="AL64" s="238" t="s">
        <v>283</v>
      </c>
      <c r="AM64" s="239" t="s">
        <v>331</v>
      </c>
      <c r="AN64" s="239"/>
      <c r="AO64" s="239"/>
      <c r="AP64" s="239" t="s">
        <v>340</v>
      </c>
    </row>
    <row r="65" spans="1:42" s="369" customFormat="1" ht="12.75" customHeight="1" x14ac:dyDescent="0.15">
      <c r="A65" s="202"/>
      <c r="B65" s="222" t="s">
        <v>341</v>
      </c>
      <c r="C65" s="223" t="s">
        <v>82</v>
      </c>
      <c r="D65" s="356">
        <v>0</v>
      </c>
      <c r="E65" s="357">
        <v>0</v>
      </c>
      <c r="F65" s="357">
        <v>0</v>
      </c>
      <c r="G65" s="357">
        <v>0</v>
      </c>
      <c r="H65" s="358">
        <f t="shared" si="32"/>
        <v>0</v>
      </c>
      <c r="I65" s="498">
        <v>0</v>
      </c>
      <c r="J65" s="357">
        <v>0</v>
      </c>
      <c r="K65" s="357">
        <v>0</v>
      </c>
      <c r="L65" s="357">
        <v>0</v>
      </c>
      <c r="M65" s="358">
        <f t="shared" si="33"/>
        <v>0</v>
      </c>
      <c r="N65" s="359">
        <v>0</v>
      </c>
      <c r="O65" s="360">
        <v>0</v>
      </c>
      <c r="P65" s="360">
        <v>0</v>
      </c>
      <c r="Q65" s="360">
        <v>0</v>
      </c>
      <c r="R65" s="361">
        <v>0</v>
      </c>
      <c r="S65" s="362">
        <v>0</v>
      </c>
      <c r="T65" s="363">
        <v>0</v>
      </c>
      <c r="U65" s="362">
        <v>0</v>
      </c>
      <c r="V65" s="363">
        <v>0</v>
      </c>
      <c r="W65" s="359">
        <v>0</v>
      </c>
      <c r="X65" s="360">
        <v>0</v>
      </c>
      <c r="Y65" s="360">
        <v>0</v>
      </c>
      <c r="Z65" s="360">
        <v>0</v>
      </c>
      <c r="AA65" s="360">
        <v>0</v>
      </c>
      <c r="AB65" s="360">
        <v>0</v>
      </c>
      <c r="AC65" s="360">
        <v>0</v>
      </c>
      <c r="AD65" s="360">
        <v>0</v>
      </c>
      <c r="AE65" s="361">
        <v>0</v>
      </c>
      <c r="AF65" s="359">
        <v>0</v>
      </c>
      <c r="AG65" s="360">
        <v>0</v>
      </c>
      <c r="AH65" s="360">
        <v>0</v>
      </c>
      <c r="AI65" s="360">
        <v>0</v>
      </c>
      <c r="AJ65" s="360">
        <v>0</v>
      </c>
      <c r="AK65" s="361">
        <v>0</v>
      </c>
      <c r="AL65" s="228" t="s">
        <v>283</v>
      </c>
      <c r="AM65" s="229" t="s">
        <v>331</v>
      </c>
      <c r="AN65" s="229" t="s">
        <v>276</v>
      </c>
      <c r="AO65" s="229" t="s">
        <v>277</v>
      </c>
      <c r="AP65" s="229" t="s">
        <v>340</v>
      </c>
    </row>
    <row r="66" spans="1:42" s="369" customFormat="1" ht="12.75" customHeight="1" x14ac:dyDescent="0.15">
      <c r="A66" s="202"/>
      <c r="B66" s="222" t="s">
        <v>342</v>
      </c>
      <c r="C66" s="223" t="s">
        <v>83</v>
      </c>
      <c r="D66" s="356">
        <v>0</v>
      </c>
      <c r="E66" s="357">
        <v>0</v>
      </c>
      <c r="F66" s="357">
        <v>0</v>
      </c>
      <c r="G66" s="357">
        <v>0</v>
      </c>
      <c r="H66" s="358">
        <f t="shared" si="32"/>
        <v>0</v>
      </c>
      <c r="I66" s="498">
        <v>0</v>
      </c>
      <c r="J66" s="357">
        <v>0</v>
      </c>
      <c r="K66" s="357">
        <v>0</v>
      </c>
      <c r="L66" s="357">
        <v>0</v>
      </c>
      <c r="M66" s="358">
        <f t="shared" si="33"/>
        <v>0</v>
      </c>
      <c r="N66" s="359">
        <v>0</v>
      </c>
      <c r="O66" s="360">
        <v>0</v>
      </c>
      <c r="P66" s="360">
        <v>0</v>
      </c>
      <c r="Q66" s="360">
        <v>0</v>
      </c>
      <c r="R66" s="361">
        <v>0</v>
      </c>
      <c r="S66" s="362">
        <v>0</v>
      </c>
      <c r="T66" s="363">
        <v>0</v>
      </c>
      <c r="U66" s="362">
        <v>0</v>
      </c>
      <c r="V66" s="363">
        <v>0</v>
      </c>
      <c r="W66" s="359">
        <v>0</v>
      </c>
      <c r="X66" s="360">
        <v>0</v>
      </c>
      <c r="Y66" s="360">
        <v>0</v>
      </c>
      <c r="Z66" s="360">
        <v>0</v>
      </c>
      <c r="AA66" s="360">
        <v>0</v>
      </c>
      <c r="AB66" s="360">
        <v>0</v>
      </c>
      <c r="AC66" s="360">
        <v>0</v>
      </c>
      <c r="AD66" s="360">
        <v>0</v>
      </c>
      <c r="AE66" s="361">
        <v>0</v>
      </c>
      <c r="AF66" s="359">
        <v>0</v>
      </c>
      <c r="AG66" s="360">
        <v>0</v>
      </c>
      <c r="AH66" s="360">
        <v>0</v>
      </c>
      <c r="AI66" s="360">
        <v>0</v>
      </c>
      <c r="AJ66" s="360">
        <v>0</v>
      </c>
      <c r="AK66" s="361">
        <v>0</v>
      </c>
      <c r="AL66" s="228" t="s">
        <v>283</v>
      </c>
      <c r="AM66" s="229" t="s">
        <v>331</v>
      </c>
      <c r="AN66" s="229" t="s">
        <v>276</v>
      </c>
      <c r="AO66" s="229" t="s">
        <v>288</v>
      </c>
      <c r="AP66" s="229" t="s">
        <v>340</v>
      </c>
    </row>
    <row r="67" spans="1:42" s="369" customFormat="1" ht="12.75" customHeight="1" x14ac:dyDescent="0.15">
      <c r="A67" s="202"/>
      <c r="B67" s="222" t="s">
        <v>343</v>
      </c>
      <c r="C67" s="223" t="s">
        <v>344</v>
      </c>
      <c r="D67" s="356">
        <v>0</v>
      </c>
      <c r="E67" s="357">
        <v>0</v>
      </c>
      <c r="F67" s="357">
        <v>0</v>
      </c>
      <c r="G67" s="357">
        <v>0</v>
      </c>
      <c r="H67" s="358">
        <f t="shared" si="32"/>
        <v>0</v>
      </c>
      <c r="I67" s="498">
        <v>0</v>
      </c>
      <c r="J67" s="357">
        <v>0</v>
      </c>
      <c r="K67" s="357">
        <v>0</v>
      </c>
      <c r="L67" s="357">
        <v>0</v>
      </c>
      <c r="M67" s="358">
        <f t="shared" si="33"/>
        <v>0</v>
      </c>
      <c r="N67" s="359">
        <v>0</v>
      </c>
      <c r="O67" s="360">
        <v>0</v>
      </c>
      <c r="P67" s="360">
        <v>0</v>
      </c>
      <c r="Q67" s="360">
        <v>0</v>
      </c>
      <c r="R67" s="361">
        <v>0</v>
      </c>
      <c r="S67" s="362">
        <v>0</v>
      </c>
      <c r="T67" s="363">
        <v>0</v>
      </c>
      <c r="U67" s="362">
        <v>0</v>
      </c>
      <c r="V67" s="363">
        <v>0</v>
      </c>
      <c r="W67" s="359">
        <v>0</v>
      </c>
      <c r="X67" s="360">
        <v>0</v>
      </c>
      <c r="Y67" s="360">
        <v>0</v>
      </c>
      <c r="Z67" s="360">
        <v>0</v>
      </c>
      <c r="AA67" s="360">
        <v>0</v>
      </c>
      <c r="AB67" s="360">
        <v>0</v>
      </c>
      <c r="AC67" s="360">
        <v>0</v>
      </c>
      <c r="AD67" s="360">
        <v>0</v>
      </c>
      <c r="AE67" s="361">
        <v>0</v>
      </c>
      <c r="AF67" s="359">
        <v>0</v>
      </c>
      <c r="AG67" s="360">
        <v>0</v>
      </c>
      <c r="AH67" s="360">
        <v>0</v>
      </c>
      <c r="AI67" s="360">
        <v>0</v>
      </c>
      <c r="AJ67" s="360">
        <v>0</v>
      </c>
      <c r="AK67" s="361">
        <v>0</v>
      </c>
      <c r="AL67" s="228" t="s">
        <v>283</v>
      </c>
      <c r="AM67" s="229" t="s">
        <v>331</v>
      </c>
      <c r="AN67" s="229" t="s">
        <v>276</v>
      </c>
      <c r="AO67" s="229" t="s">
        <v>345</v>
      </c>
      <c r="AP67" s="229" t="s">
        <v>340</v>
      </c>
    </row>
    <row r="68" spans="1:42" s="491" customFormat="1" ht="12.75" customHeight="1" x14ac:dyDescent="0.15">
      <c r="A68" s="481"/>
      <c r="B68" s="482" t="s">
        <v>336</v>
      </c>
      <c r="C68" s="245" t="s">
        <v>93</v>
      </c>
      <c r="D68" s="483">
        <v>0</v>
      </c>
      <c r="E68" s="484">
        <v>0</v>
      </c>
      <c r="F68" s="484">
        <v>0</v>
      </c>
      <c r="G68" s="484">
        <v>0</v>
      </c>
      <c r="H68" s="485">
        <f t="shared" si="32"/>
        <v>0</v>
      </c>
      <c r="I68" s="500">
        <v>0</v>
      </c>
      <c r="J68" s="484">
        <v>0</v>
      </c>
      <c r="K68" s="484">
        <v>0</v>
      </c>
      <c r="L68" s="484">
        <v>0</v>
      </c>
      <c r="M68" s="485">
        <f t="shared" si="33"/>
        <v>0</v>
      </c>
      <c r="N68" s="486">
        <v>0</v>
      </c>
      <c r="O68" s="487">
        <v>0</v>
      </c>
      <c r="P68" s="487">
        <v>0</v>
      </c>
      <c r="Q68" s="487">
        <v>0</v>
      </c>
      <c r="R68" s="488">
        <v>0</v>
      </c>
      <c r="S68" s="489">
        <v>0</v>
      </c>
      <c r="T68" s="490">
        <v>0</v>
      </c>
      <c r="U68" s="489">
        <v>0</v>
      </c>
      <c r="V68" s="490">
        <v>0</v>
      </c>
      <c r="W68" s="486">
        <v>0</v>
      </c>
      <c r="X68" s="487">
        <v>0</v>
      </c>
      <c r="Y68" s="487">
        <v>0</v>
      </c>
      <c r="Z68" s="487">
        <v>0</v>
      </c>
      <c r="AA68" s="487">
        <v>0</v>
      </c>
      <c r="AB68" s="487">
        <v>0</v>
      </c>
      <c r="AC68" s="487">
        <v>0</v>
      </c>
      <c r="AD68" s="487">
        <v>0</v>
      </c>
      <c r="AE68" s="488">
        <v>0</v>
      </c>
      <c r="AF68" s="486">
        <v>0</v>
      </c>
      <c r="AG68" s="487">
        <v>0</v>
      </c>
      <c r="AH68" s="487">
        <v>0</v>
      </c>
      <c r="AI68" s="487">
        <v>0</v>
      </c>
      <c r="AJ68" s="487">
        <v>0</v>
      </c>
      <c r="AK68" s="488">
        <v>0</v>
      </c>
      <c r="AL68" s="283" t="s">
        <v>283</v>
      </c>
      <c r="AM68" s="284" t="s">
        <v>331</v>
      </c>
      <c r="AN68" s="284" t="s">
        <v>291</v>
      </c>
      <c r="AO68" s="284" t="s">
        <v>277</v>
      </c>
      <c r="AP68" s="284" t="s">
        <v>337</v>
      </c>
    </row>
    <row r="69" spans="1:42" ht="12.75" customHeight="1" x14ac:dyDescent="0.15">
      <c r="A69" s="316"/>
      <c r="B69" s="236" t="s">
        <v>186</v>
      </c>
      <c r="C69" s="237" t="s">
        <v>346</v>
      </c>
      <c r="D69" s="348">
        <f>SUM(D70:D74)</f>
        <v>291495892.81594473</v>
      </c>
      <c r="E69" s="348">
        <f t="shared" ref="E69:G69" si="54">SUM(E70:E74)</f>
        <v>640989575.32174087</v>
      </c>
      <c r="F69" s="348">
        <f t="shared" si="54"/>
        <v>619000000</v>
      </c>
      <c r="G69" s="348">
        <f t="shared" si="54"/>
        <v>660569233.53682208</v>
      </c>
      <c r="H69" s="350">
        <f t="shared" si="32"/>
        <v>0.47182078747761924</v>
      </c>
      <c r="I69" s="497">
        <f t="shared" ref="I69" si="55">SUM(I70:I74)</f>
        <v>45576.501171751064</v>
      </c>
      <c r="J69" s="348">
        <f t="shared" ref="J69" si="56">SUM(J70:J74)</f>
        <v>147349.20742652434</v>
      </c>
      <c r="K69" s="348">
        <f t="shared" ref="K69" si="57">SUM(K70:K74)</f>
        <v>144000</v>
      </c>
      <c r="L69" s="348">
        <f t="shared" ref="L69" si="58">SUM(L70:L74)</f>
        <v>128584.95746406852</v>
      </c>
      <c r="M69" s="350">
        <f t="shared" si="33"/>
        <v>0.45980751501470413</v>
      </c>
      <c r="N69" s="351">
        <v>0</v>
      </c>
      <c r="O69" s="352">
        <v>0</v>
      </c>
      <c r="P69" s="352">
        <v>0</v>
      </c>
      <c r="Q69" s="352">
        <v>0</v>
      </c>
      <c r="R69" s="353">
        <v>0</v>
      </c>
      <c r="S69" s="354"/>
      <c r="T69" s="355">
        <v>2.5499999999999998</v>
      </c>
      <c r="U69" s="354">
        <v>50.1</v>
      </c>
      <c r="V69" s="355">
        <v>136.61000000000001</v>
      </c>
      <c r="W69" s="351">
        <v>0</v>
      </c>
      <c r="X69" s="352">
        <v>0</v>
      </c>
      <c r="Y69" s="352">
        <v>0</v>
      </c>
      <c r="Z69" s="352">
        <v>0</v>
      </c>
      <c r="AA69" s="352">
        <v>0</v>
      </c>
      <c r="AB69" s="352">
        <v>0</v>
      </c>
      <c r="AC69" s="352">
        <v>0</v>
      </c>
      <c r="AD69" s="352">
        <v>0</v>
      </c>
      <c r="AE69" s="353">
        <v>0</v>
      </c>
      <c r="AF69" s="351">
        <v>11.975564200447318</v>
      </c>
      <c r="AG69" s="352">
        <v>0</v>
      </c>
      <c r="AH69" s="352">
        <v>4.4928026743385834</v>
      </c>
      <c r="AI69" s="352">
        <v>0</v>
      </c>
      <c r="AJ69" s="352">
        <v>0</v>
      </c>
      <c r="AK69" s="353">
        <v>0</v>
      </c>
      <c r="AL69" s="238" t="s">
        <v>283</v>
      </c>
      <c r="AM69" s="239" t="s">
        <v>331</v>
      </c>
      <c r="AN69" s="239"/>
      <c r="AO69" s="239"/>
      <c r="AP69" s="239" t="s">
        <v>480</v>
      </c>
    </row>
    <row r="70" spans="1:42" ht="12.75" customHeight="1" x14ac:dyDescent="0.15">
      <c r="A70" s="316"/>
      <c r="B70" s="222" t="s">
        <v>347</v>
      </c>
      <c r="C70" s="223" t="s">
        <v>348</v>
      </c>
      <c r="D70" s="356">
        <v>291495892.81594473</v>
      </c>
      <c r="E70" s="357">
        <v>640989575.32174087</v>
      </c>
      <c r="F70" s="357">
        <v>619000000</v>
      </c>
      <c r="G70" s="357">
        <v>660569233.53682208</v>
      </c>
      <c r="H70" s="358">
        <f t="shared" si="32"/>
        <v>0.47182078747761924</v>
      </c>
      <c r="I70" s="498">
        <v>45576.501171751064</v>
      </c>
      <c r="J70" s="357">
        <v>147349.20742652434</v>
      </c>
      <c r="K70" s="357">
        <v>144000</v>
      </c>
      <c r="L70" s="357">
        <v>128584.95746406852</v>
      </c>
      <c r="M70" s="358">
        <f t="shared" si="33"/>
        <v>0.45980751501470413</v>
      </c>
      <c r="N70" s="359">
        <v>0</v>
      </c>
      <c r="O70" s="360">
        <v>0</v>
      </c>
      <c r="P70" s="360">
        <v>0</v>
      </c>
      <c r="Q70" s="360">
        <v>0</v>
      </c>
      <c r="R70" s="361">
        <v>0</v>
      </c>
      <c r="S70" s="362">
        <v>0</v>
      </c>
      <c r="T70" s="363">
        <v>0</v>
      </c>
      <c r="U70" s="362">
        <v>0</v>
      </c>
      <c r="V70" s="363">
        <v>0</v>
      </c>
      <c r="W70" s="359">
        <v>0</v>
      </c>
      <c r="X70" s="360">
        <v>0</v>
      </c>
      <c r="Y70" s="360">
        <v>0</v>
      </c>
      <c r="Z70" s="360">
        <v>0</v>
      </c>
      <c r="AA70" s="360">
        <v>0</v>
      </c>
      <c r="AB70" s="360">
        <v>0</v>
      </c>
      <c r="AC70" s="360">
        <v>0</v>
      </c>
      <c r="AD70" s="360">
        <v>0</v>
      </c>
      <c r="AE70" s="361">
        <v>0</v>
      </c>
      <c r="AF70" s="359">
        <v>0</v>
      </c>
      <c r="AG70" s="360">
        <v>0</v>
      </c>
      <c r="AH70" s="360">
        <v>0</v>
      </c>
      <c r="AI70" s="360">
        <v>0</v>
      </c>
      <c r="AJ70" s="360">
        <v>0</v>
      </c>
      <c r="AK70" s="361">
        <v>0</v>
      </c>
      <c r="AL70" s="228" t="s">
        <v>283</v>
      </c>
      <c r="AM70" s="229" t="s">
        <v>331</v>
      </c>
      <c r="AN70" s="229" t="s">
        <v>232</v>
      </c>
      <c r="AO70" s="229" t="s">
        <v>277</v>
      </c>
      <c r="AP70" s="229" t="s">
        <v>69</v>
      </c>
    </row>
    <row r="71" spans="1:42" s="369" customFormat="1" ht="12.75" customHeight="1" x14ac:dyDescent="0.15">
      <c r="A71" s="202"/>
      <c r="B71" s="222" t="s">
        <v>349</v>
      </c>
      <c r="C71" s="223" t="s">
        <v>350</v>
      </c>
      <c r="D71" s="356">
        <v>0</v>
      </c>
      <c r="E71" s="357">
        <v>0</v>
      </c>
      <c r="F71" s="357">
        <v>0</v>
      </c>
      <c r="G71" s="357">
        <v>0</v>
      </c>
      <c r="H71" s="358">
        <f t="shared" ref="H71:H102" si="59">+G71/$G$123</f>
        <v>0</v>
      </c>
      <c r="I71" s="498">
        <v>0</v>
      </c>
      <c r="J71" s="357">
        <v>0</v>
      </c>
      <c r="K71" s="357">
        <v>0</v>
      </c>
      <c r="L71" s="357">
        <v>0</v>
      </c>
      <c r="M71" s="358">
        <f t="shared" ref="M71:M102" si="60">+L71/$L$123</f>
        <v>0</v>
      </c>
      <c r="N71" s="359">
        <v>0</v>
      </c>
      <c r="O71" s="360">
        <v>0</v>
      </c>
      <c r="P71" s="360">
        <v>0</v>
      </c>
      <c r="Q71" s="360">
        <v>0</v>
      </c>
      <c r="R71" s="361">
        <v>0</v>
      </c>
      <c r="S71" s="362">
        <v>0</v>
      </c>
      <c r="T71" s="363">
        <v>0</v>
      </c>
      <c r="U71" s="362">
        <v>0</v>
      </c>
      <c r="V71" s="363">
        <v>0</v>
      </c>
      <c r="W71" s="359">
        <v>0</v>
      </c>
      <c r="X71" s="360">
        <v>0</v>
      </c>
      <c r="Y71" s="360">
        <v>0</v>
      </c>
      <c r="Z71" s="360">
        <v>0</v>
      </c>
      <c r="AA71" s="360">
        <v>0</v>
      </c>
      <c r="AB71" s="360">
        <v>0</v>
      </c>
      <c r="AC71" s="360">
        <v>0</v>
      </c>
      <c r="AD71" s="360">
        <v>0</v>
      </c>
      <c r="AE71" s="361">
        <v>0</v>
      </c>
      <c r="AF71" s="359">
        <v>0</v>
      </c>
      <c r="AG71" s="360">
        <v>0</v>
      </c>
      <c r="AH71" s="360">
        <v>0</v>
      </c>
      <c r="AI71" s="360">
        <v>0</v>
      </c>
      <c r="AJ71" s="360">
        <v>0</v>
      </c>
      <c r="AK71" s="361">
        <v>0</v>
      </c>
      <c r="AL71" s="228" t="s">
        <v>283</v>
      </c>
      <c r="AM71" s="229" t="s">
        <v>331</v>
      </c>
      <c r="AN71" s="229" t="s">
        <v>232</v>
      </c>
      <c r="AO71" s="229" t="s">
        <v>277</v>
      </c>
      <c r="AP71" s="229" t="s">
        <v>69</v>
      </c>
    </row>
    <row r="72" spans="1:42" ht="12.75" customHeight="1" x14ac:dyDescent="0.15">
      <c r="A72" s="316"/>
      <c r="B72" s="222" t="s">
        <v>351</v>
      </c>
      <c r="C72" s="223" t="s">
        <v>352</v>
      </c>
      <c r="D72" s="356">
        <v>0</v>
      </c>
      <c r="E72" s="357">
        <v>0</v>
      </c>
      <c r="F72" s="357">
        <v>0</v>
      </c>
      <c r="G72" s="357">
        <v>0</v>
      </c>
      <c r="H72" s="358">
        <f t="shared" si="59"/>
        <v>0</v>
      </c>
      <c r="I72" s="498">
        <v>0</v>
      </c>
      <c r="J72" s="357">
        <v>0</v>
      </c>
      <c r="K72" s="357">
        <v>0</v>
      </c>
      <c r="L72" s="357">
        <v>0</v>
      </c>
      <c r="M72" s="358">
        <f t="shared" si="60"/>
        <v>0</v>
      </c>
      <c r="N72" s="359">
        <v>0</v>
      </c>
      <c r="O72" s="360">
        <v>0</v>
      </c>
      <c r="P72" s="360">
        <v>0</v>
      </c>
      <c r="Q72" s="360">
        <v>0</v>
      </c>
      <c r="R72" s="361">
        <v>0</v>
      </c>
      <c r="S72" s="362">
        <v>0</v>
      </c>
      <c r="T72" s="363">
        <v>0</v>
      </c>
      <c r="U72" s="362">
        <v>0</v>
      </c>
      <c r="V72" s="363">
        <v>0</v>
      </c>
      <c r="W72" s="359">
        <v>0</v>
      </c>
      <c r="X72" s="360">
        <v>0</v>
      </c>
      <c r="Y72" s="360">
        <v>0</v>
      </c>
      <c r="Z72" s="360">
        <v>0</v>
      </c>
      <c r="AA72" s="360">
        <v>0</v>
      </c>
      <c r="AB72" s="360">
        <v>0</v>
      </c>
      <c r="AC72" s="360">
        <v>0</v>
      </c>
      <c r="AD72" s="360">
        <v>0</v>
      </c>
      <c r="AE72" s="361">
        <v>0</v>
      </c>
      <c r="AF72" s="359">
        <v>0</v>
      </c>
      <c r="AG72" s="360">
        <v>0</v>
      </c>
      <c r="AH72" s="360">
        <v>0</v>
      </c>
      <c r="AI72" s="360">
        <v>0</v>
      </c>
      <c r="AJ72" s="360">
        <v>0</v>
      </c>
      <c r="AK72" s="361">
        <v>0</v>
      </c>
      <c r="AL72" s="228" t="s">
        <v>283</v>
      </c>
      <c r="AM72" s="229" t="s">
        <v>331</v>
      </c>
      <c r="AN72" s="229" t="s">
        <v>232</v>
      </c>
      <c r="AO72" s="229" t="s">
        <v>277</v>
      </c>
      <c r="AP72" s="229" t="s">
        <v>69</v>
      </c>
    </row>
    <row r="73" spans="1:42" ht="12.75" customHeight="1" x14ac:dyDescent="0.15">
      <c r="A73" s="316"/>
      <c r="B73" s="222" t="s">
        <v>353</v>
      </c>
      <c r="C73" s="223" t="s">
        <v>354</v>
      </c>
      <c r="D73" s="356">
        <v>0</v>
      </c>
      <c r="E73" s="357">
        <v>0</v>
      </c>
      <c r="F73" s="357">
        <v>0</v>
      </c>
      <c r="G73" s="357">
        <v>0</v>
      </c>
      <c r="H73" s="358">
        <f t="shared" si="59"/>
        <v>0</v>
      </c>
      <c r="I73" s="498">
        <v>0</v>
      </c>
      <c r="J73" s="357">
        <v>0</v>
      </c>
      <c r="K73" s="357">
        <v>0</v>
      </c>
      <c r="L73" s="357">
        <v>0</v>
      </c>
      <c r="M73" s="358">
        <f t="shared" si="60"/>
        <v>0</v>
      </c>
      <c r="N73" s="359">
        <v>0</v>
      </c>
      <c r="O73" s="360">
        <v>0</v>
      </c>
      <c r="P73" s="360">
        <v>0</v>
      </c>
      <c r="Q73" s="360">
        <v>0</v>
      </c>
      <c r="R73" s="361">
        <v>0</v>
      </c>
      <c r="S73" s="362">
        <v>0</v>
      </c>
      <c r="T73" s="363">
        <v>0</v>
      </c>
      <c r="U73" s="362">
        <v>0</v>
      </c>
      <c r="V73" s="363">
        <v>0</v>
      </c>
      <c r="W73" s="359">
        <v>0</v>
      </c>
      <c r="X73" s="360">
        <v>0</v>
      </c>
      <c r="Y73" s="360">
        <v>0</v>
      </c>
      <c r="Z73" s="360">
        <v>0</v>
      </c>
      <c r="AA73" s="360">
        <v>0</v>
      </c>
      <c r="AB73" s="360">
        <v>0</v>
      </c>
      <c r="AC73" s="360">
        <v>0</v>
      </c>
      <c r="AD73" s="360">
        <v>0</v>
      </c>
      <c r="AE73" s="361">
        <v>0</v>
      </c>
      <c r="AF73" s="359">
        <v>0</v>
      </c>
      <c r="AG73" s="360">
        <v>0</v>
      </c>
      <c r="AH73" s="360">
        <v>0</v>
      </c>
      <c r="AI73" s="360">
        <v>0</v>
      </c>
      <c r="AJ73" s="360">
        <v>0</v>
      </c>
      <c r="AK73" s="361">
        <v>0</v>
      </c>
      <c r="AL73" s="228" t="s">
        <v>283</v>
      </c>
      <c r="AM73" s="229" t="s">
        <v>331</v>
      </c>
      <c r="AN73" s="229" t="s">
        <v>232</v>
      </c>
      <c r="AO73" s="229" t="s">
        <v>277</v>
      </c>
      <c r="AP73" s="229" t="s">
        <v>69</v>
      </c>
    </row>
    <row r="74" spans="1:42" s="369" customFormat="1" ht="12.75" customHeight="1" x14ac:dyDescent="0.15">
      <c r="A74" s="202"/>
      <c r="B74" s="222" t="s">
        <v>355</v>
      </c>
      <c r="C74" s="223" t="s">
        <v>356</v>
      </c>
      <c r="D74" s="356">
        <v>0</v>
      </c>
      <c r="E74" s="357">
        <v>0</v>
      </c>
      <c r="F74" s="357">
        <v>0</v>
      </c>
      <c r="G74" s="357">
        <v>0</v>
      </c>
      <c r="H74" s="358">
        <f t="shared" si="59"/>
        <v>0</v>
      </c>
      <c r="I74" s="498">
        <v>0</v>
      </c>
      <c r="J74" s="357">
        <v>0</v>
      </c>
      <c r="K74" s="357">
        <v>0</v>
      </c>
      <c r="L74" s="357">
        <v>0</v>
      </c>
      <c r="M74" s="358">
        <f t="shared" si="60"/>
        <v>0</v>
      </c>
      <c r="N74" s="359">
        <v>0</v>
      </c>
      <c r="O74" s="360">
        <v>0</v>
      </c>
      <c r="P74" s="360">
        <v>0</v>
      </c>
      <c r="Q74" s="360">
        <v>0</v>
      </c>
      <c r="R74" s="361">
        <v>0</v>
      </c>
      <c r="S74" s="362">
        <v>0</v>
      </c>
      <c r="T74" s="363">
        <v>0</v>
      </c>
      <c r="U74" s="362">
        <v>0</v>
      </c>
      <c r="V74" s="363">
        <v>0</v>
      </c>
      <c r="W74" s="359">
        <v>0</v>
      </c>
      <c r="X74" s="360">
        <v>0</v>
      </c>
      <c r="Y74" s="360">
        <v>0</v>
      </c>
      <c r="Z74" s="360">
        <v>0</v>
      </c>
      <c r="AA74" s="360">
        <v>0</v>
      </c>
      <c r="AB74" s="360">
        <v>0</v>
      </c>
      <c r="AC74" s="360">
        <v>0</v>
      </c>
      <c r="AD74" s="360">
        <v>0</v>
      </c>
      <c r="AE74" s="361">
        <v>0</v>
      </c>
      <c r="AF74" s="359">
        <v>0</v>
      </c>
      <c r="AG74" s="360">
        <v>0</v>
      </c>
      <c r="AH74" s="360">
        <v>0</v>
      </c>
      <c r="AI74" s="360">
        <v>0</v>
      </c>
      <c r="AJ74" s="360">
        <v>0</v>
      </c>
      <c r="AK74" s="361">
        <v>0</v>
      </c>
      <c r="AL74" s="228" t="s">
        <v>283</v>
      </c>
      <c r="AM74" s="229" t="s">
        <v>331</v>
      </c>
      <c r="AN74" s="229" t="s">
        <v>232</v>
      </c>
      <c r="AO74" s="229" t="s">
        <v>277</v>
      </c>
      <c r="AP74" s="229" t="s">
        <v>69</v>
      </c>
    </row>
    <row r="75" spans="1:42" ht="12.75" customHeight="1" x14ac:dyDescent="0.15">
      <c r="A75" s="316"/>
      <c r="B75" s="236" t="s">
        <v>357</v>
      </c>
      <c r="C75" s="237" t="s">
        <v>92</v>
      </c>
      <c r="D75" s="348">
        <f>SUM(D76:D78)</f>
        <v>0</v>
      </c>
      <c r="E75" s="348">
        <f t="shared" ref="E75:G75" si="61">SUM(E76:E78)</f>
        <v>0</v>
      </c>
      <c r="F75" s="348">
        <f t="shared" si="61"/>
        <v>0</v>
      </c>
      <c r="G75" s="348">
        <f t="shared" si="61"/>
        <v>0</v>
      </c>
      <c r="H75" s="350">
        <f t="shared" si="59"/>
        <v>0</v>
      </c>
      <c r="I75" s="497">
        <f t="shared" ref="I75" si="62">SUM(I76:I78)</f>
        <v>0</v>
      </c>
      <c r="J75" s="348">
        <f t="shared" ref="J75" si="63">SUM(J76:J78)</f>
        <v>0</v>
      </c>
      <c r="K75" s="348">
        <f t="shared" ref="K75" si="64">SUM(K76:K78)</f>
        <v>0</v>
      </c>
      <c r="L75" s="348">
        <f t="shared" ref="L75" si="65">SUM(L76:L78)</f>
        <v>0</v>
      </c>
      <c r="M75" s="350">
        <f t="shared" si="60"/>
        <v>0</v>
      </c>
      <c r="N75" s="351">
        <v>0</v>
      </c>
      <c r="O75" s="352">
        <v>0</v>
      </c>
      <c r="P75" s="352">
        <v>0</v>
      </c>
      <c r="Q75" s="352">
        <v>0</v>
      </c>
      <c r="R75" s="353">
        <v>0</v>
      </c>
      <c r="S75" s="354"/>
      <c r="T75" s="355"/>
      <c r="U75" s="354"/>
      <c r="V75" s="355"/>
      <c r="W75" s="351"/>
      <c r="X75" s="352"/>
      <c r="Y75" s="352"/>
      <c r="Z75" s="352"/>
      <c r="AA75" s="352"/>
      <c r="AB75" s="352"/>
      <c r="AC75" s="352"/>
      <c r="AD75" s="352"/>
      <c r="AE75" s="353"/>
      <c r="AF75" s="351"/>
      <c r="AG75" s="352"/>
      <c r="AH75" s="352"/>
      <c r="AI75" s="352"/>
      <c r="AJ75" s="352"/>
      <c r="AK75" s="353"/>
      <c r="AL75" s="238" t="s">
        <v>273</v>
      </c>
      <c r="AM75" s="239" t="s">
        <v>331</v>
      </c>
      <c r="AN75" s="244"/>
      <c r="AO75" s="244"/>
      <c r="AP75" s="239" t="s">
        <v>358</v>
      </c>
    </row>
    <row r="76" spans="1:42" ht="12.75" customHeight="1" x14ac:dyDescent="0.15">
      <c r="A76" s="316"/>
      <c r="B76" s="222" t="s">
        <v>359</v>
      </c>
      <c r="C76" s="245" t="s">
        <v>360</v>
      </c>
      <c r="D76" s="356">
        <v>0</v>
      </c>
      <c r="E76" s="357">
        <v>0</v>
      </c>
      <c r="F76" s="357">
        <v>0</v>
      </c>
      <c r="G76" s="357">
        <v>0</v>
      </c>
      <c r="H76" s="358">
        <f t="shared" si="59"/>
        <v>0</v>
      </c>
      <c r="I76" s="498">
        <v>0</v>
      </c>
      <c r="J76" s="357">
        <v>0</v>
      </c>
      <c r="K76" s="357">
        <v>0</v>
      </c>
      <c r="L76" s="357">
        <v>0</v>
      </c>
      <c r="M76" s="358">
        <f t="shared" si="60"/>
        <v>0</v>
      </c>
      <c r="N76" s="359">
        <v>0</v>
      </c>
      <c r="O76" s="360">
        <v>0</v>
      </c>
      <c r="P76" s="360">
        <v>0</v>
      </c>
      <c r="Q76" s="360">
        <v>0</v>
      </c>
      <c r="R76" s="361">
        <v>0</v>
      </c>
      <c r="S76" s="362">
        <v>0</v>
      </c>
      <c r="T76" s="363">
        <v>0</v>
      </c>
      <c r="U76" s="362">
        <v>0</v>
      </c>
      <c r="V76" s="363">
        <v>0</v>
      </c>
      <c r="W76" s="359">
        <v>0</v>
      </c>
      <c r="X76" s="360">
        <v>0</v>
      </c>
      <c r="Y76" s="360">
        <v>0</v>
      </c>
      <c r="Z76" s="360">
        <v>0</v>
      </c>
      <c r="AA76" s="360">
        <v>0</v>
      </c>
      <c r="AB76" s="360">
        <v>0</v>
      </c>
      <c r="AC76" s="360">
        <v>0</v>
      </c>
      <c r="AD76" s="360">
        <v>0</v>
      </c>
      <c r="AE76" s="361">
        <v>0</v>
      </c>
      <c r="AF76" s="359">
        <v>0</v>
      </c>
      <c r="AG76" s="360">
        <v>0</v>
      </c>
      <c r="AH76" s="360">
        <v>0</v>
      </c>
      <c r="AI76" s="360">
        <v>0</v>
      </c>
      <c r="AJ76" s="360">
        <v>0</v>
      </c>
      <c r="AK76" s="361">
        <v>0</v>
      </c>
      <c r="AL76" s="228" t="s">
        <v>283</v>
      </c>
      <c r="AM76" s="229" t="s">
        <v>331</v>
      </c>
      <c r="AN76" s="229" t="s">
        <v>291</v>
      </c>
      <c r="AO76" s="229" t="s">
        <v>277</v>
      </c>
      <c r="AP76" s="229" t="s">
        <v>358</v>
      </c>
    </row>
    <row r="77" spans="1:42" s="369" customFormat="1" ht="12.75" customHeight="1" x14ac:dyDescent="0.15">
      <c r="A77" s="202"/>
      <c r="B77" s="222" t="s">
        <v>361</v>
      </c>
      <c r="C77" s="245" t="s">
        <v>362</v>
      </c>
      <c r="D77" s="356">
        <v>0</v>
      </c>
      <c r="E77" s="357">
        <v>0</v>
      </c>
      <c r="F77" s="357">
        <v>0</v>
      </c>
      <c r="G77" s="357">
        <v>0</v>
      </c>
      <c r="H77" s="358">
        <f t="shared" si="59"/>
        <v>0</v>
      </c>
      <c r="I77" s="498">
        <v>0</v>
      </c>
      <c r="J77" s="357">
        <v>0</v>
      </c>
      <c r="K77" s="357">
        <v>0</v>
      </c>
      <c r="L77" s="357">
        <v>0</v>
      </c>
      <c r="M77" s="358">
        <f t="shared" si="60"/>
        <v>0</v>
      </c>
      <c r="N77" s="359">
        <v>0</v>
      </c>
      <c r="O77" s="360">
        <v>0</v>
      </c>
      <c r="P77" s="360">
        <v>0</v>
      </c>
      <c r="Q77" s="360">
        <v>0</v>
      </c>
      <c r="R77" s="361">
        <v>0</v>
      </c>
      <c r="S77" s="362">
        <v>0</v>
      </c>
      <c r="T77" s="363">
        <v>0</v>
      </c>
      <c r="U77" s="362">
        <v>0</v>
      </c>
      <c r="V77" s="363">
        <v>0</v>
      </c>
      <c r="W77" s="359">
        <v>0</v>
      </c>
      <c r="X77" s="360">
        <v>0</v>
      </c>
      <c r="Y77" s="360">
        <v>0</v>
      </c>
      <c r="Z77" s="360">
        <v>0</v>
      </c>
      <c r="AA77" s="360">
        <v>0</v>
      </c>
      <c r="AB77" s="360">
        <v>0</v>
      </c>
      <c r="AC77" s="360">
        <v>0</v>
      </c>
      <c r="AD77" s="360">
        <v>0</v>
      </c>
      <c r="AE77" s="361">
        <v>0</v>
      </c>
      <c r="AF77" s="359">
        <v>0</v>
      </c>
      <c r="AG77" s="360">
        <v>0</v>
      </c>
      <c r="AH77" s="360">
        <v>0</v>
      </c>
      <c r="AI77" s="360">
        <v>0</v>
      </c>
      <c r="AJ77" s="360">
        <v>0</v>
      </c>
      <c r="AK77" s="361">
        <v>0</v>
      </c>
      <c r="AL77" s="228" t="s">
        <v>283</v>
      </c>
      <c r="AM77" s="229" t="s">
        <v>331</v>
      </c>
      <c r="AN77" s="229" t="s">
        <v>291</v>
      </c>
      <c r="AO77" s="229" t="s">
        <v>277</v>
      </c>
      <c r="AP77" s="229" t="s">
        <v>358</v>
      </c>
    </row>
    <row r="78" spans="1:42" ht="12.75" customHeight="1" x14ac:dyDescent="0.15">
      <c r="A78" s="316"/>
      <c r="B78" s="222" t="s">
        <v>363</v>
      </c>
      <c r="C78" s="245" t="s">
        <v>364</v>
      </c>
      <c r="D78" s="356">
        <v>0</v>
      </c>
      <c r="E78" s="357">
        <v>0</v>
      </c>
      <c r="F78" s="357">
        <v>0</v>
      </c>
      <c r="G78" s="357">
        <v>0</v>
      </c>
      <c r="H78" s="358">
        <f t="shared" si="59"/>
        <v>0</v>
      </c>
      <c r="I78" s="498">
        <v>0</v>
      </c>
      <c r="J78" s="357">
        <v>0</v>
      </c>
      <c r="K78" s="357">
        <v>0</v>
      </c>
      <c r="L78" s="357">
        <v>0</v>
      </c>
      <c r="M78" s="358">
        <f t="shared" si="60"/>
        <v>0</v>
      </c>
      <c r="N78" s="359">
        <v>0</v>
      </c>
      <c r="O78" s="360">
        <v>0</v>
      </c>
      <c r="P78" s="360">
        <v>0</v>
      </c>
      <c r="Q78" s="360">
        <v>0</v>
      </c>
      <c r="R78" s="361">
        <v>0</v>
      </c>
      <c r="S78" s="362">
        <v>0</v>
      </c>
      <c r="T78" s="363">
        <v>0</v>
      </c>
      <c r="U78" s="362">
        <v>0</v>
      </c>
      <c r="V78" s="363">
        <v>0</v>
      </c>
      <c r="W78" s="359">
        <v>0</v>
      </c>
      <c r="X78" s="360">
        <v>0</v>
      </c>
      <c r="Y78" s="360">
        <v>0</v>
      </c>
      <c r="Z78" s="360">
        <v>0</v>
      </c>
      <c r="AA78" s="360">
        <v>0</v>
      </c>
      <c r="AB78" s="360">
        <v>0</v>
      </c>
      <c r="AC78" s="360">
        <v>0</v>
      </c>
      <c r="AD78" s="360">
        <v>0</v>
      </c>
      <c r="AE78" s="361">
        <v>0</v>
      </c>
      <c r="AF78" s="359">
        <v>0</v>
      </c>
      <c r="AG78" s="360">
        <v>0</v>
      </c>
      <c r="AH78" s="360">
        <v>0</v>
      </c>
      <c r="AI78" s="360">
        <v>0</v>
      </c>
      <c r="AJ78" s="360">
        <v>0</v>
      </c>
      <c r="AK78" s="361">
        <v>0</v>
      </c>
      <c r="AL78" s="228" t="s">
        <v>273</v>
      </c>
      <c r="AM78" s="229" t="s">
        <v>331</v>
      </c>
      <c r="AN78" s="229" t="s">
        <v>291</v>
      </c>
      <c r="AO78" s="229" t="s">
        <v>277</v>
      </c>
      <c r="AP78" s="229" t="s">
        <v>358</v>
      </c>
    </row>
    <row r="79" spans="1:42" ht="12.75" customHeight="1" x14ac:dyDescent="0.15">
      <c r="A79" s="316"/>
      <c r="B79" s="236" t="s">
        <v>365</v>
      </c>
      <c r="C79" s="237" t="s">
        <v>366</v>
      </c>
      <c r="D79" s="348">
        <f>SUM(D80:D82)</f>
        <v>964344.73434823984</v>
      </c>
      <c r="E79" s="348">
        <f t="shared" ref="E79:G79" si="66">SUM(E80:E82)</f>
        <v>628024.96779440495</v>
      </c>
      <c r="F79" s="348">
        <f t="shared" si="66"/>
        <v>163762.71697900002</v>
      </c>
      <c r="G79" s="348">
        <f t="shared" si="66"/>
        <v>0</v>
      </c>
      <c r="H79" s="350">
        <f t="shared" si="59"/>
        <v>0</v>
      </c>
      <c r="I79" s="497">
        <f>SUM(I80:I82)</f>
        <v>162.12795795999995</v>
      </c>
      <c r="J79" s="348">
        <f t="shared" ref="J79:L79" si="67">SUM(J80:J82)</f>
        <v>192.52797351199999</v>
      </c>
      <c r="K79" s="348">
        <f t="shared" si="67"/>
        <v>34.517254000000001</v>
      </c>
      <c r="L79" s="348">
        <f t="shared" si="67"/>
        <v>0</v>
      </c>
      <c r="M79" s="350">
        <f t="shared" si="60"/>
        <v>0</v>
      </c>
      <c r="N79" s="351">
        <v>0</v>
      </c>
      <c r="O79" s="352">
        <v>0</v>
      </c>
      <c r="P79" s="352">
        <v>0</v>
      </c>
      <c r="Q79" s="352">
        <v>0</v>
      </c>
      <c r="R79" s="353">
        <v>0</v>
      </c>
      <c r="S79" s="354">
        <f>AVERAGE(S81)</f>
        <v>0.13225360759176899</v>
      </c>
      <c r="T79" s="355"/>
      <c r="U79" s="354"/>
      <c r="V79" s="355"/>
      <c r="W79" s="351"/>
      <c r="X79" s="352"/>
      <c r="Y79" s="352"/>
      <c r="Z79" s="352"/>
      <c r="AA79" s="352"/>
      <c r="AB79" s="352"/>
      <c r="AC79" s="352"/>
      <c r="AD79" s="352"/>
      <c r="AE79" s="353"/>
      <c r="AF79" s="351"/>
      <c r="AG79" s="352"/>
      <c r="AH79" s="352"/>
      <c r="AI79" s="352"/>
      <c r="AJ79" s="352"/>
      <c r="AK79" s="353"/>
      <c r="AL79" s="238" t="s">
        <v>273</v>
      </c>
      <c r="AM79" s="239" t="s">
        <v>331</v>
      </c>
      <c r="AN79" s="244"/>
      <c r="AO79" s="244"/>
      <c r="AP79" s="239" t="s">
        <v>367</v>
      </c>
    </row>
    <row r="80" spans="1:42" s="369" customFormat="1" ht="12.75" customHeight="1" x14ac:dyDescent="0.15">
      <c r="A80" s="202"/>
      <c r="B80" s="222" t="s">
        <v>368</v>
      </c>
      <c r="C80" s="245" t="s">
        <v>72</v>
      </c>
      <c r="D80" s="356">
        <v>0</v>
      </c>
      <c r="E80" s="357">
        <v>0</v>
      </c>
      <c r="F80" s="357">
        <v>0</v>
      </c>
      <c r="G80" s="357">
        <v>0</v>
      </c>
      <c r="H80" s="358">
        <f t="shared" si="59"/>
        <v>0</v>
      </c>
      <c r="I80" s="498">
        <v>0</v>
      </c>
      <c r="J80" s="357">
        <v>0</v>
      </c>
      <c r="K80" s="357">
        <v>0</v>
      </c>
      <c r="L80" s="357">
        <v>0</v>
      </c>
      <c r="M80" s="358">
        <f t="shared" si="60"/>
        <v>0</v>
      </c>
      <c r="N80" s="359">
        <v>0</v>
      </c>
      <c r="O80" s="360">
        <v>0</v>
      </c>
      <c r="P80" s="360">
        <v>0</v>
      </c>
      <c r="Q80" s="360">
        <v>0</v>
      </c>
      <c r="R80" s="361">
        <v>0</v>
      </c>
      <c r="S80" s="362">
        <v>0</v>
      </c>
      <c r="T80" s="363">
        <v>0</v>
      </c>
      <c r="U80" s="362">
        <v>0</v>
      </c>
      <c r="V80" s="363">
        <v>0</v>
      </c>
      <c r="W80" s="359">
        <v>0</v>
      </c>
      <c r="X80" s="360">
        <v>0</v>
      </c>
      <c r="Y80" s="360">
        <v>0</v>
      </c>
      <c r="Z80" s="360">
        <v>0</v>
      </c>
      <c r="AA80" s="360">
        <v>0</v>
      </c>
      <c r="AB80" s="360">
        <v>0</v>
      </c>
      <c r="AC80" s="360">
        <v>0</v>
      </c>
      <c r="AD80" s="360">
        <v>0</v>
      </c>
      <c r="AE80" s="361">
        <v>0</v>
      </c>
      <c r="AF80" s="359">
        <v>0</v>
      </c>
      <c r="AG80" s="360">
        <v>0</v>
      </c>
      <c r="AH80" s="360">
        <v>0</v>
      </c>
      <c r="AI80" s="360">
        <v>0</v>
      </c>
      <c r="AJ80" s="360">
        <v>0</v>
      </c>
      <c r="AK80" s="361">
        <v>0</v>
      </c>
      <c r="AL80" s="228" t="s">
        <v>283</v>
      </c>
      <c r="AM80" s="229" t="s">
        <v>331</v>
      </c>
      <c r="AN80" s="229" t="s">
        <v>291</v>
      </c>
      <c r="AO80" s="229" t="s">
        <v>280</v>
      </c>
      <c r="AP80" s="229" t="s">
        <v>367</v>
      </c>
    </row>
    <row r="81" spans="1:42" ht="12.75" customHeight="1" x14ac:dyDescent="0.15">
      <c r="A81" s="316"/>
      <c r="B81" s="222" t="s">
        <v>369</v>
      </c>
      <c r="C81" s="245" t="s">
        <v>6</v>
      </c>
      <c r="D81" s="356">
        <v>964344.73434823984</v>
      </c>
      <c r="E81" s="357">
        <v>628024.96779440495</v>
      </c>
      <c r="F81" s="357">
        <v>163762.71697900002</v>
      </c>
      <c r="G81" s="357">
        <v>0</v>
      </c>
      <c r="H81" s="358">
        <f t="shared" si="59"/>
        <v>0</v>
      </c>
      <c r="I81" s="498">
        <v>162.12795795999995</v>
      </c>
      <c r="J81" s="357">
        <v>192.52797351199999</v>
      </c>
      <c r="K81" s="357">
        <v>34.517254000000001</v>
      </c>
      <c r="L81" s="357">
        <v>0</v>
      </c>
      <c r="M81" s="358">
        <f t="shared" si="60"/>
        <v>0</v>
      </c>
      <c r="N81" s="359">
        <v>0</v>
      </c>
      <c r="O81" s="360">
        <v>0</v>
      </c>
      <c r="P81" s="360">
        <v>0</v>
      </c>
      <c r="Q81" s="360">
        <v>0</v>
      </c>
      <c r="R81" s="361">
        <v>0</v>
      </c>
      <c r="S81" s="362">
        <v>0.13225360759176899</v>
      </c>
      <c r="T81" s="363">
        <v>0</v>
      </c>
      <c r="U81" s="362">
        <v>0.133430429768256</v>
      </c>
      <c r="V81" s="363">
        <v>0</v>
      </c>
      <c r="W81" s="359">
        <v>0.74341410669010577</v>
      </c>
      <c r="X81" s="360">
        <v>0</v>
      </c>
      <c r="Y81" s="360">
        <v>0</v>
      </c>
      <c r="Z81" s="360">
        <v>0.74341410669010577</v>
      </c>
      <c r="AA81" s="360">
        <v>0</v>
      </c>
      <c r="AB81" s="360">
        <v>0</v>
      </c>
      <c r="AC81" s="360">
        <v>0</v>
      </c>
      <c r="AD81" s="360">
        <v>0</v>
      </c>
      <c r="AE81" s="361">
        <v>0</v>
      </c>
      <c r="AF81" s="359">
        <v>9.1850868420799188</v>
      </c>
      <c r="AG81" s="360">
        <v>0</v>
      </c>
      <c r="AH81" s="360">
        <v>0</v>
      </c>
      <c r="AI81" s="360">
        <v>0</v>
      </c>
      <c r="AJ81" s="360">
        <v>0</v>
      </c>
      <c r="AK81" s="361">
        <v>0</v>
      </c>
      <c r="AL81" s="228" t="s">
        <v>370</v>
      </c>
      <c r="AM81" s="229" t="s">
        <v>331</v>
      </c>
      <c r="AN81" s="229" t="s">
        <v>291</v>
      </c>
      <c r="AO81" s="229" t="s">
        <v>280</v>
      </c>
      <c r="AP81" s="229" t="s">
        <v>367</v>
      </c>
    </row>
    <row r="82" spans="1:42" ht="12.75" customHeight="1" x14ac:dyDescent="0.15">
      <c r="A82" s="316"/>
      <c r="B82" s="222" t="s">
        <v>371</v>
      </c>
      <c r="C82" s="245" t="s">
        <v>73</v>
      </c>
      <c r="D82" s="356">
        <v>0</v>
      </c>
      <c r="E82" s="357">
        <v>0</v>
      </c>
      <c r="F82" s="357">
        <v>0</v>
      </c>
      <c r="G82" s="357">
        <v>0</v>
      </c>
      <c r="H82" s="358">
        <f t="shared" si="59"/>
        <v>0</v>
      </c>
      <c r="I82" s="498">
        <v>0</v>
      </c>
      <c r="J82" s="357">
        <v>0</v>
      </c>
      <c r="K82" s="357">
        <v>0</v>
      </c>
      <c r="L82" s="357">
        <v>0</v>
      </c>
      <c r="M82" s="358">
        <f t="shared" si="60"/>
        <v>0</v>
      </c>
      <c r="N82" s="359">
        <v>0</v>
      </c>
      <c r="O82" s="360">
        <v>0</v>
      </c>
      <c r="P82" s="360">
        <v>0</v>
      </c>
      <c r="Q82" s="360">
        <v>0</v>
      </c>
      <c r="R82" s="361">
        <v>0</v>
      </c>
      <c r="S82" s="362">
        <v>0</v>
      </c>
      <c r="T82" s="363">
        <v>0</v>
      </c>
      <c r="U82" s="362">
        <v>0</v>
      </c>
      <c r="V82" s="363">
        <v>0</v>
      </c>
      <c r="W82" s="359">
        <v>0</v>
      </c>
      <c r="X82" s="360">
        <v>0</v>
      </c>
      <c r="Y82" s="360">
        <v>0</v>
      </c>
      <c r="Z82" s="360">
        <v>0</v>
      </c>
      <c r="AA82" s="360">
        <v>0</v>
      </c>
      <c r="AB82" s="360">
        <v>0</v>
      </c>
      <c r="AC82" s="360">
        <v>0</v>
      </c>
      <c r="AD82" s="360">
        <v>0</v>
      </c>
      <c r="AE82" s="361">
        <v>0</v>
      </c>
      <c r="AF82" s="359">
        <v>0</v>
      </c>
      <c r="AG82" s="360">
        <v>0</v>
      </c>
      <c r="AH82" s="360">
        <v>0</v>
      </c>
      <c r="AI82" s="360">
        <v>0</v>
      </c>
      <c r="AJ82" s="360">
        <v>0</v>
      </c>
      <c r="AK82" s="361">
        <v>0</v>
      </c>
      <c r="AL82" s="228" t="s">
        <v>283</v>
      </c>
      <c r="AM82" s="229" t="s">
        <v>331</v>
      </c>
      <c r="AN82" s="229" t="s">
        <v>291</v>
      </c>
      <c r="AO82" s="229" t="s">
        <v>288</v>
      </c>
      <c r="AP82" s="229" t="s">
        <v>367</v>
      </c>
    </row>
    <row r="83" spans="1:42" ht="12.75" customHeight="1" x14ac:dyDescent="0.15">
      <c r="A83" s="316"/>
      <c r="B83" s="236" t="s">
        <v>375</v>
      </c>
      <c r="C83" s="237" t="s">
        <v>376</v>
      </c>
      <c r="D83" s="348">
        <f>SUM(D84:D111)</f>
        <v>24043245.987336002</v>
      </c>
      <c r="E83" s="348">
        <f t="shared" ref="E83:G83" si="68">SUM(E84:E111)</f>
        <v>11232870.832955185</v>
      </c>
      <c r="F83" s="348">
        <f t="shared" si="68"/>
        <v>17573528.138757341</v>
      </c>
      <c r="G83" s="348">
        <f t="shared" si="68"/>
        <v>25098270.667507112</v>
      </c>
      <c r="H83" s="350">
        <f t="shared" si="59"/>
        <v>1.7926789849514745E-2</v>
      </c>
      <c r="I83" s="497">
        <f>SUM(I84:I111)</f>
        <v>2676.0663770127853</v>
      </c>
      <c r="J83" s="348">
        <f t="shared" ref="J83:L83" si="69">SUM(J84:J111)</f>
        <v>1180.8441340614781</v>
      </c>
      <c r="K83" s="348">
        <f t="shared" si="69"/>
        <v>1306.9982878433113</v>
      </c>
      <c r="L83" s="348">
        <f t="shared" si="69"/>
        <v>2631.759826149083</v>
      </c>
      <c r="M83" s="350">
        <f t="shared" si="60"/>
        <v>9.4109215388999759E-3</v>
      </c>
      <c r="N83" s="351">
        <v>0</v>
      </c>
      <c r="O83" s="352">
        <v>0</v>
      </c>
      <c r="P83" s="352">
        <v>0</v>
      </c>
      <c r="Q83" s="352">
        <v>0</v>
      </c>
      <c r="R83" s="353">
        <v>0</v>
      </c>
      <c r="S83" s="354">
        <f>AVERAGE(S86:S92,S94:S104,S108:S110)</f>
        <v>0.38145340540508538</v>
      </c>
      <c r="T83" s="355"/>
      <c r="U83" s="354"/>
      <c r="V83" s="355"/>
      <c r="W83" s="351"/>
      <c r="X83" s="352"/>
      <c r="Y83" s="352"/>
      <c r="Z83" s="352"/>
      <c r="AA83" s="352"/>
      <c r="AB83" s="352"/>
      <c r="AC83" s="352"/>
      <c r="AD83" s="352"/>
      <c r="AE83" s="353"/>
      <c r="AF83" s="351"/>
      <c r="AG83" s="352"/>
      <c r="AH83" s="352"/>
      <c r="AI83" s="352"/>
      <c r="AJ83" s="352"/>
      <c r="AK83" s="353"/>
      <c r="AL83" s="238" t="s">
        <v>377</v>
      </c>
      <c r="AM83" s="239" t="s">
        <v>377</v>
      </c>
      <c r="AN83" s="244"/>
      <c r="AO83" s="244"/>
      <c r="AP83" s="239" t="s">
        <v>378</v>
      </c>
    </row>
    <row r="84" spans="1:42" ht="12.75" customHeight="1" x14ac:dyDescent="0.15">
      <c r="A84" s="316"/>
      <c r="B84" s="222" t="s">
        <v>182</v>
      </c>
      <c r="C84" s="223" t="s">
        <v>376</v>
      </c>
      <c r="D84" s="370">
        <v>0</v>
      </c>
      <c r="E84" s="371">
        <v>0</v>
      </c>
      <c r="F84" s="371">
        <v>0</v>
      </c>
      <c r="G84" s="371">
        <v>990000</v>
      </c>
      <c r="H84" s="358">
        <f t="shared" si="59"/>
        <v>7.0712130672795771E-4</v>
      </c>
      <c r="I84" s="501">
        <v>0</v>
      </c>
      <c r="J84" s="371">
        <v>0</v>
      </c>
      <c r="K84" s="371">
        <v>0</v>
      </c>
      <c r="L84" s="371">
        <v>75.031578947368402</v>
      </c>
      <c r="M84" s="358">
        <f t="shared" si="60"/>
        <v>2.683057532064719E-4</v>
      </c>
      <c r="N84" s="372">
        <v>0</v>
      </c>
      <c r="O84" s="373">
        <v>0</v>
      </c>
      <c r="P84" s="373">
        <v>0</v>
      </c>
      <c r="Q84" s="373">
        <v>0</v>
      </c>
      <c r="R84" s="374">
        <v>0</v>
      </c>
      <c r="S84" s="362">
        <v>0</v>
      </c>
      <c r="T84" s="363">
        <v>0.932349495716981</v>
      </c>
      <c r="U84" s="362">
        <v>0</v>
      </c>
      <c r="V84" s="363">
        <v>0.80296277817980899</v>
      </c>
      <c r="W84" s="372">
        <v>0</v>
      </c>
      <c r="X84" s="373">
        <v>0</v>
      </c>
      <c r="Y84" s="360">
        <v>0.85000001192092933</v>
      </c>
      <c r="Z84" s="373">
        <v>0</v>
      </c>
      <c r="AA84" s="373">
        <v>0</v>
      </c>
      <c r="AB84" s="360">
        <v>0.85000001192092933</v>
      </c>
      <c r="AC84" s="373">
        <v>0</v>
      </c>
      <c r="AD84" s="373">
        <v>0</v>
      </c>
      <c r="AE84" s="374">
        <v>0</v>
      </c>
      <c r="AF84" s="359">
        <v>0</v>
      </c>
      <c r="AG84" s="373">
        <v>0</v>
      </c>
      <c r="AH84" s="360">
        <v>11</v>
      </c>
      <c r="AI84" s="373">
        <v>0</v>
      </c>
      <c r="AJ84" s="373">
        <v>0</v>
      </c>
      <c r="AK84" s="374">
        <v>0</v>
      </c>
      <c r="AL84" s="228" t="s">
        <v>377</v>
      </c>
      <c r="AM84" s="229" t="s">
        <v>331</v>
      </c>
      <c r="AN84" s="229" t="s">
        <v>276</v>
      </c>
      <c r="AO84" s="229" t="s">
        <v>277</v>
      </c>
      <c r="AP84" s="229" t="s">
        <v>378</v>
      </c>
    </row>
    <row r="85" spans="1:42" ht="12.75" customHeight="1" x14ac:dyDescent="0.15">
      <c r="A85" s="316"/>
      <c r="B85" s="222" t="s">
        <v>181</v>
      </c>
      <c r="C85" s="223" t="s">
        <v>42</v>
      </c>
      <c r="D85" s="356">
        <v>139500</v>
      </c>
      <c r="E85" s="357">
        <v>0</v>
      </c>
      <c r="F85" s="357">
        <v>0</v>
      </c>
      <c r="G85" s="357">
        <v>0</v>
      </c>
      <c r="H85" s="358">
        <f t="shared" si="59"/>
        <v>0</v>
      </c>
      <c r="I85" s="498">
        <v>19.785144556897382</v>
      </c>
      <c r="J85" s="357">
        <v>0</v>
      </c>
      <c r="K85" s="357">
        <v>0</v>
      </c>
      <c r="L85" s="357">
        <v>0</v>
      </c>
      <c r="M85" s="358">
        <f t="shared" si="60"/>
        <v>0</v>
      </c>
      <c r="N85" s="359">
        <v>0</v>
      </c>
      <c r="O85" s="360">
        <v>0</v>
      </c>
      <c r="P85" s="360">
        <v>0</v>
      </c>
      <c r="Q85" s="360">
        <v>0</v>
      </c>
      <c r="R85" s="361">
        <v>0</v>
      </c>
      <c r="S85" s="362">
        <v>0</v>
      </c>
      <c r="T85" s="363">
        <v>0</v>
      </c>
      <c r="U85" s="362">
        <v>0</v>
      </c>
      <c r="V85" s="363">
        <v>0</v>
      </c>
      <c r="W85" s="359">
        <v>0</v>
      </c>
      <c r="X85" s="360">
        <v>0</v>
      </c>
      <c r="Y85" s="360">
        <v>0</v>
      </c>
      <c r="Z85" s="360">
        <v>0</v>
      </c>
      <c r="AA85" s="360">
        <v>0</v>
      </c>
      <c r="AB85" s="360">
        <v>0</v>
      </c>
      <c r="AC85" s="360">
        <v>0</v>
      </c>
      <c r="AD85" s="360">
        <v>0</v>
      </c>
      <c r="AE85" s="361">
        <v>0</v>
      </c>
      <c r="AF85" s="359">
        <v>0</v>
      </c>
      <c r="AG85" s="360">
        <v>0</v>
      </c>
      <c r="AH85" s="360">
        <v>0</v>
      </c>
      <c r="AI85" s="360">
        <v>0</v>
      </c>
      <c r="AJ85" s="360">
        <v>0</v>
      </c>
      <c r="AK85" s="361">
        <v>0</v>
      </c>
      <c r="AL85" s="228" t="s">
        <v>377</v>
      </c>
      <c r="AM85" s="229" t="s">
        <v>331</v>
      </c>
      <c r="AN85" s="229" t="s">
        <v>276</v>
      </c>
      <c r="AO85" s="229" t="s">
        <v>288</v>
      </c>
      <c r="AP85" s="229" t="s">
        <v>378</v>
      </c>
    </row>
    <row r="86" spans="1:42" ht="12.75" customHeight="1" x14ac:dyDescent="0.15">
      <c r="A86" s="316"/>
      <c r="B86" s="222" t="s">
        <v>379</v>
      </c>
      <c r="C86" s="223" t="s">
        <v>43</v>
      </c>
      <c r="D86" s="356">
        <v>1026000</v>
      </c>
      <c r="E86" s="357">
        <v>161679.463304</v>
      </c>
      <c r="F86" s="357">
        <v>1260980.3736</v>
      </c>
      <c r="G86" s="357">
        <v>2922248.4396629999</v>
      </c>
      <c r="H86" s="358">
        <f t="shared" si="59"/>
        <v>2.0872567022608441E-3</v>
      </c>
      <c r="I86" s="498">
        <v>150.96865908689557</v>
      </c>
      <c r="J86" s="357">
        <v>48.576900000000002</v>
      </c>
      <c r="K86" s="357">
        <v>83.347252200000014</v>
      </c>
      <c r="L86" s="357">
        <v>333.25974481318201</v>
      </c>
      <c r="M86" s="358">
        <f t="shared" si="60"/>
        <v>1.1917049874189472E-3</v>
      </c>
      <c r="N86" s="359">
        <v>0</v>
      </c>
      <c r="O86" s="360">
        <v>0</v>
      </c>
      <c r="P86" s="360">
        <v>0</v>
      </c>
      <c r="Q86" s="360">
        <v>0</v>
      </c>
      <c r="R86" s="361">
        <v>0</v>
      </c>
      <c r="S86" s="362">
        <v>0.702473413863965</v>
      </c>
      <c r="T86" s="363">
        <v>0.85597044854788096</v>
      </c>
      <c r="U86" s="362">
        <v>0.71585568535160105</v>
      </c>
      <c r="V86" s="363">
        <v>1.2596800192440101</v>
      </c>
      <c r="W86" s="359">
        <v>0.65000002384185918</v>
      </c>
      <c r="X86" s="360">
        <v>0</v>
      </c>
      <c r="Y86" s="360">
        <v>0.65000001331889845</v>
      </c>
      <c r="Z86" s="360">
        <v>0.65000002384185918</v>
      </c>
      <c r="AA86" s="360">
        <v>0</v>
      </c>
      <c r="AB86" s="360">
        <v>0.65000001331889845</v>
      </c>
      <c r="AC86" s="360">
        <v>0</v>
      </c>
      <c r="AD86" s="360">
        <v>0</v>
      </c>
      <c r="AE86" s="361">
        <v>0</v>
      </c>
      <c r="AF86" s="359">
        <v>15.155226391102143</v>
      </c>
      <c r="AG86" s="360">
        <v>0</v>
      </c>
      <c r="AH86" s="360">
        <v>12.073518400951523</v>
      </c>
      <c r="AI86" s="360">
        <v>0</v>
      </c>
      <c r="AJ86" s="360">
        <v>0</v>
      </c>
      <c r="AK86" s="361">
        <v>0</v>
      </c>
      <c r="AL86" s="228" t="s">
        <v>377</v>
      </c>
      <c r="AM86" s="229" t="s">
        <v>331</v>
      </c>
      <c r="AN86" s="229" t="s">
        <v>276</v>
      </c>
      <c r="AO86" s="229" t="s">
        <v>277</v>
      </c>
      <c r="AP86" s="229" t="s">
        <v>378</v>
      </c>
    </row>
    <row r="87" spans="1:42" ht="12.75" customHeight="1" x14ac:dyDescent="0.15">
      <c r="A87" s="316"/>
      <c r="B87" s="222" t="s">
        <v>380</v>
      </c>
      <c r="C87" s="223" t="s">
        <v>44</v>
      </c>
      <c r="D87" s="356">
        <v>306000</v>
      </c>
      <c r="E87" s="357">
        <v>65686.647205000001</v>
      </c>
      <c r="F87" s="357">
        <v>0</v>
      </c>
      <c r="G87" s="357">
        <v>1150241.1969111101</v>
      </c>
      <c r="H87" s="358">
        <f t="shared" si="59"/>
        <v>8.2157581637587289E-4</v>
      </c>
      <c r="I87" s="498">
        <v>66.007469541536068</v>
      </c>
      <c r="J87" s="357">
        <v>5.8168899999999999</v>
      </c>
      <c r="K87" s="357">
        <v>0</v>
      </c>
      <c r="L87" s="357">
        <v>150.859790311111</v>
      </c>
      <c r="M87" s="358">
        <f t="shared" si="60"/>
        <v>5.3946018777487937E-4</v>
      </c>
      <c r="N87" s="359">
        <v>0</v>
      </c>
      <c r="O87" s="360">
        <v>0</v>
      </c>
      <c r="P87" s="360">
        <v>0</v>
      </c>
      <c r="Q87" s="360">
        <v>0</v>
      </c>
      <c r="R87" s="361">
        <v>0</v>
      </c>
      <c r="S87" s="362">
        <v>0.112067348021841</v>
      </c>
      <c r="T87" s="363">
        <v>1.2372892215784701</v>
      </c>
      <c r="U87" s="362">
        <v>0.68959251671767396</v>
      </c>
      <c r="V87" s="363">
        <v>1.8835578803212001</v>
      </c>
      <c r="W87" s="359">
        <v>0.83073935493536799</v>
      </c>
      <c r="X87" s="360">
        <v>0</v>
      </c>
      <c r="Y87" s="360">
        <v>0.65000002384185895</v>
      </c>
      <c r="Z87" s="360">
        <v>0.83073935493536799</v>
      </c>
      <c r="AA87" s="360">
        <v>0</v>
      </c>
      <c r="AB87" s="360">
        <v>0.65000002384185895</v>
      </c>
      <c r="AC87" s="360">
        <v>0</v>
      </c>
      <c r="AD87" s="360">
        <v>0</v>
      </c>
      <c r="AE87" s="361">
        <v>0</v>
      </c>
      <c r="AF87" s="359">
        <v>13.407531142919446</v>
      </c>
      <c r="AG87" s="360">
        <v>0</v>
      </c>
      <c r="AH87" s="360">
        <v>5.4280284876964284</v>
      </c>
      <c r="AI87" s="360">
        <v>0</v>
      </c>
      <c r="AJ87" s="360">
        <v>0</v>
      </c>
      <c r="AK87" s="361">
        <v>0</v>
      </c>
      <c r="AL87" s="228" t="s">
        <v>377</v>
      </c>
      <c r="AM87" s="229" t="s">
        <v>331</v>
      </c>
      <c r="AN87" s="229" t="s">
        <v>276</v>
      </c>
      <c r="AO87" s="229" t="s">
        <v>277</v>
      </c>
      <c r="AP87" s="229" t="s">
        <v>378</v>
      </c>
    </row>
    <row r="88" spans="1:42" ht="12.75" customHeight="1" x14ac:dyDescent="0.15">
      <c r="A88" s="316"/>
      <c r="B88" s="222" t="s">
        <v>381</v>
      </c>
      <c r="C88" s="223" t="s">
        <v>45</v>
      </c>
      <c r="D88" s="370">
        <v>1572769.252905</v>
      </c>
      <c r="E88" s="371">
        <v>573296.57999999996</v>
      </c>
      <c r="F88" s="371">
        <v>375218.967</v>
      </c>
      <c r="G88" s="371">
        <v>163710</v>
      </c>
      <c r="H88" s="358">
        <f t="shared" si="59"/>
        <v>1.1693215063074136E-4</v>
      </c>
      <c r="I88" s="501">
        <v>161.55172821752399</v>
      </c>
      <c r="J88" s="371">
        <v>3.339</v>
      </c>
      <c r="K88" s="371">
        <v>23.261199999999999</v>
      </c>
      <c r="L88" s="371">
        <v>1.2201313937118701</v>
      </c>
      <c r="M88" s="358">
        <f t="shared" si="60"/>
        <v>4.3630732178828475E-6</v>
      </c>
      <c r="N88" s="372">
        <v>0</v>
      </c>
      <c r="O88" s="373">
        <v>0</v>
      </c>
      <c r="P88" s="373">
        <v>0</v>
      </c>
      <c r="Q88" s="373">
        <v>0</v>
      </c>
      <c r="R88" s="374">
        <v>0</v>
      </c>
      <c r="S88" s="362">
        <v>0.35016289391182598</v>
      </c>
      <c r="T88" s="363">
        <v>0.38221397498433601</v>
      </c>
      <c r="U88" s="362">
        <v>1.3345572584697201</v>
      </c>
      <c r="V88" s="363">
        <v>0.738408990522186</v>
      </c>
      <c r="W88" s="359">
        <v>0.90000000184653828</v>
      </c>
      <c r="X88" s="373">
        <v>0</v>
      </c>
      <c r="Y88" s="360">
        <v>0.65000002384186062</v>
      </c>
      <c r="Z88" s="373">
        <v>0.90000000184653828</v>
      </c>
      <c r="AA88" s="373">
        <v>0</v>
      </c>
      <c r="AB88" s="360">
        <v>0.65000002384186062</v>
      </c>
      <c r="AC88" s="373">
        <v>0</v>
      </c>
      <c r="AD88" s="373">
        <v>0</v>
      </c>
      <c r="AE88" s="374">
        <v>0</v>
      </c>
      <c r="AF88" s="359">
        <v>10.552015098363221</v>
      </c>
      <c r="AG88" s="373">
        <v>0</v>
      </c>
      <c r="AH88" s="360">
        <v>11.764705882352908</v>
      </c>
      <c r="AI88" s="373">
        <v>0</v>
      </c>
      <c r="AJ88" s="373">
        <v>0</v>
      </c>
      <c r="AK88" s="374">
        <v>0</v>
      </c>
      <c r="AL88" s="228" t="s">
        <v>377</v>
      </c>
      <c r="AM88" s="229" t="s">
        <v>331</v>
      </c>
      <c r="AN88" s="229" t="s">
        <v>276</v>
      </c>
      <c r="AO88" s="229" t="s">
        <v>277</v>
      </c>
      <c r="AP88" s="229" t="s">
        <v>378</v>
      </c>
    </row>
    <row r="89" spans="1:42" ht="12.75" customHeight="1" x14ac:dyDescent="0.15">
      <c r="A89" s="316"/>
      <c r="B89" s="222" t="s">
        <v>180</v>
      </c>
      <c r="C89" s="223" t="s">
        <v>46</v>
      </c>
      <c r="D89" s="356">
        <v>162483.63999999998</v>
      </c>
      <c r="E89" s="357">
        <v>11544.57</v>
      </c>
      <c r="F89" s="357">
        <v>16554.240000000002</v>
      </c>
      <c r="G89" s="357">
        <v>0</v>
      </c>
      <c r="H89" s="358">
        <f t="shared" si="59"/>
        <v>0</v>
      </c>
      <c r="I89" s="498">
        <v>8.7566864636570099</v>
      </c>
      <c r="J89" s="357">
        <v>1.98</v>
      </c>
      <c r="K89" s="357">
        <v>5.0129999999999999</v>
      </c>
      <c r="L89" s="357">
        <v>0</v>
      </c>
      <c r="M89" s="358">
        <f t="shared" si="60"/>
        <v>0</v>
      </c>
      <c r="N89" s="359">
        <v>0</v>
      </c>
      <c r="O89" s="360">
        <v>0</v>
      </c>
      <c r="P89" s="360">
        <v>0</v>
      </c>
      <c r="Q89" s="360">
        <v>0</v>
      </c>
      <c r="R89" s="361">
        <v>0</v>
      </c>
      <c r="S89" s="362">
        <v>0.105534077304234</v>
      </c>
      <c r="T89" s="363">
        <v>0</v>
      </c>
      <c r="U89" s="362">
        <v>0.112651947401485</v>
      </c>
      <c r="V89" s="363">
        <v>0</v>
      </c>
      <c r="W89" s="359">
        <v>0.85000001192092911</v>
      </c>
      <c r="X89" s="360">
        <v>0</v>
      </c>
      <c r="Y89" s="360">
        <v>0</v>
      </c>
      <c r="Z89" s="360">
        <v>0.85000001192092911</v>
      </c>
      <c r="AA89" s="360">
        <v>0</v>
      </c>
      <c r="AB89" s="360">
        <v>0</v>
      </c>
      <c r="AC89" s="360">
        <v>0</v>
      </c>
      <c r="AD89" s="360">
        <v>0</v>
      </c>
      <c r="AE89" s="361">
        <v>0</v>
      </c>
      <c r="AF89" s="359">
        <v>9</v>
      </c>
      <c r="AG89" s="360">
        <v>0</v>
      </c>
      <c r="AH89" s="360">
        <v>0</v>
      </c>
      <c r="AI89" s="360">
        <v>0</v>
      </c>
      <c r="AJ89" s="360">
        <v>0</v>
      </c>
      <c r="AK89" s="361">
        <v>0</v>
      </c>
      <c r="AL89" s="228" t="s">
        <v>377</v>
      </c>
      <c r="AM89" s="229" t="s">
        <v>331</v>
      </c>
      <c r="AN89" s="229" t="s">
        <v>276</v>
      </c>
      <c r="AO89" s="229" t="s">
        <v>288</v>
      </c>
      <c r="AP89" s="229" t="s">
        <v>378</v>
      </c>
    </row>
    <row r="90" spans="1:42" ht="12.75" customHeight="1" x14ac:dyDescent="0.15">
      <c r="A90" s="316"/>
      <c r="B90" s="222" t="s">
        <v>382</v>
      </c>
      <c r="C90" s="241" t="s">
        <v>47</v>
      </c>
      <c r="D90" s="356">
        <v>1611554.85</v>
      </c>
      <c r="E90" s="357">
        <v>283703.22775199998</v>
      </c>
      <c r="F90" s="357">
        <v>1694034.3189948001</v>
      </c>
      <c r="G90" s="357">
        <v>2879387.4</v>
      </c>
      <c r="H90" s="358">
        <f t="shared" si="59"/>
        <v>2.05664260693335E-3</v>
      </c>
      <c r="I90" s="498">
        <v>152.5116460452179</v>
      </c>
      <c r="J90" s="357">
        <v>3.4583460000000001</v>
      </c>
      <c r="K90" s="357">
        <v>23.093035200000003</v>
      </c>
      <c r="L90" s="357">
        <v>268.70313339866499</v>
      </c>
      <c r="M90" s="358">
        <f t="shared" si="60"/>
        <v>9.6085671669043948E-4</v>
      </c>
      <c r="N90" s="359">
        <v>0</v>
      </c>
      <c r="O90" s="360">
        <v>0</v>
      </c>
      <c r="P90" s="360">
        <v>0</v>
      </c>
      <c r="Q90" s="360">
        <v>0</v>
      </c>
      <c r="R90" s="361">
        <v>0</v>
      </c>
      <c r="S90" s="362">
        <v>0.150356942616101</v>
      </c>
      <c r="T90" s="363">
        <v>0.76667714485751304</v>
      </c>
      <c r="U90" s="362">
        <v>0.76757133770185104</v>
      </c>
      <c r="V90" s="363">
        <v>1.19007186485741</v>
      </c>
      <c r="W90" s="359">
        <v>0.84023254402727376</v>
      </c>
      <c r="X90" s="360">
        <v>0</v>
      </c>
      <c r="Y90" s="360">
        <v>0.65000000728372642</v>
      </c>
      <c r="Z90" s="360">
        <v>0.84023254402727376</v>
      </c>
      <c r="AA90" s="360">
        <v>0</v>
      </c>
      <c r="AB90" s="360">
        <v>0.65000000728372642</v>
      </c>
      <c r="AC90" s="360">
        <v>0</v>
      </c>
      <c r="AD90" s="360">
        <v>0</v>
      </c>
      <c r="AE90" s="361">
        <v>0</v>
      </c>
      <c r="AF90" s="359">
        <v>12.424612162108515</v>
      </c>
      <c r="AG90" s="360">
        <v>0</v>
      </c>
      <c r="AH90" s="360">
        <v>10.504192723150515</v>
      </c>
      <c r="AI90" s="360">
        <v>0</v>
      </c>
      <c r="AJ90" s="360">
        <v>0</v>
      </c>
      <c r="AK90" s="361">
        <v>0</v>
      </c>
      <c r="AL90" s="228" t="s">
        <v>377</v>
      </c>
      <c r="AM90" s="229" t="s">
        <v>331</v>
      </c>
      <c r="AN90" s="229" t="s">
        <v>276</v>
      </c>
      <c r="AO90" s="229" t="s">
        <v>277</v>
      </c>
      <c r="AP90" s="229" t="s">
        <v>378</v>
      </c>
    </row>
    <row r="91" spans="1:42" ht="12.75" customHeight="1" x14ac:dyDescent="0.15">
      <c r="A91" s="316"/>
      <c r="B91" s="222" t="s">
        <v>383</v>
      </c>
      <c r="C91" s="241" t="s">
        <v>48</v>
      </c>
      <c r="D91" s="370">
        <v>3720971.9164</v>
      </c>
      <c r="E91" s="371">
        <v>1760319.8208959999</v>
      </c>
      <c r="F91" s="371">
        <v>2272251.1471656002</v>
      </c>
      <c r="G91" s="371">
        <v>1197256.5</v>
      </c>
      <c r="H91" s="358">
        <f t="shared" si="59"/>
        <v>8.5515715229145554E-4</v>
      </c>
      <c r="I91" s="501">
        <v>235.78808604906962</v>
      </c>
      <c r="J91" s="371">
        <v>154.28577799999999</v>
      </c>
      <c r="K91" s="371">
        <v>221.73530439999999</v>
      </c>
      <c r="L91" s="371">
        <v>37.456534370319801</v>
      </c>
      <c r="M91" s="358">
        <f t="shared" si="60"/>
        <v>1.339409860184641E-4</v>
      </c>
      <c r="N91" s="372">
        <v>0</v>
      </c>
      <c r="O91" s="373">
        <v>0</v>
      </c>
      <c r="P91" s="373">
        <v>0</v>
      </c>
      <c r="Q91" s="373">
        <v>0</v>
      </c>
      <c r="R91" s="374">
        <v>0</v>
      </c>
      <c r="S91" s="362">
        <v>0.84991257412547105</v>
      </c>
      <c r="T91" s="363">
        <v>0.39081035068894299</v>
      </c>
      <c r="U91" s="362">
        <v>1.0288226257522799</v>
      </c>
      <c r="V91" s="363">
        <v>0.76235269772793401</v>
      </c>
      <c r="W91" s="359">
        <v>0.76391814026724392</v>
      </c>
      <c r="X91" s="373">
        <v>0</v>
      </c>
      <c r="Y91" s="360">
        <v>0.66154807488681577</v>
      </c>
      <c r="Z91" s="373">
        <v>0.76391814026724392</v>
      </c>
      <c r="AA91" s="373">
        <v>0</v>
      </c>
      <c r="AB91" s="360">
        <v>0.66154807488681577</v>
      </c>
      <c r="AC91" s="373">
        <v>0</v>
      </c>
      <c r="AD91" s="373">
        <v>0</v>
      </c>
      <c r="AE91" s="374">
        <v>0</v>
      </c>
      <c r="AF91" s="359">
        <v>11.066035622461396</v>
      </c>
      <c r="AG91" s="373">
        <v>0</v>
      </c>
      <c r="AH91" s="360">
        <v>10.689185694441855</v>
      </c>
      <c r="AI91" s="373">
        <v>0</v>
      </c>
      <c r="AJ91" s="373">
        <v>0</v>
      </c>
      <c r="AK91" s="374">
        <v>0</v>
      </c>
      <c r="AL91" s="228" t="s">
        <v>377</v>
      </c>
      <c r="AM91" s="229" t="s">
        <v>331</v>
      </c>
      <c r="AN91" s="229" t="s">
        <v>276</v>
      </c>
      <c r="AO91" s="229" t="s">
        <v>277</v>
      </c>
      <c r="AP91" s="229" t="s">
        <v>378</v>
      </c>
    </row>
    <row r="92" spans="1:42" ht="12.75" customHeight="1" x14ac:dyDescent="0.15">
      <c r="A92" s="316"/>
      <c r="B92" s="222" t="s">
        <v>384</v>
      </c>
      <c r="C92" s="241" t="s">
        <v>49</v>
      </c>
      <c r="D92" s="375">
        <v>80100</v>
      </c>
      <c r="E92" s="376">
        <v>21378.71</v>
      </c>
      <c r="F92" s="376">
        <v>0</v>
      </c>
      <c r="G92" s="376">
        <v>12519</v>
      </c>
      <c r="H92" s="358">
        <f t="shared" si="59"/>
        <v>8.9418703423508098E-6</v>
      </c>
      <c r="I92" s="502">
        <v>16.698278541361677</v>
      </c>
      <c r="J92" s="376">
        <v>10.177239999999999</v>
      </c>
      <c r="K92" s="376">
        <v>0</v>
      </c>
      <c r="L92" s="376">
        <v>3.7422906171796302</v>
      </c>
      <c r="M92" s="358">
        <f t="shared" si="60"/>
        <v>1.3382073479544035E-5</v>
      </c>
      <c r="N92" s="377">
        <v>0</v>
      </c>
      <c r="O92" s="378">
        <v>0</v>
      </c>
      <c r="P92" s="378">
        <v>0</v>
      </c>
      <c r="Q92" s="378">
        <v>0</v>
      </c>
      <c r="R92" s="379">
        <v>0</v>
      </c>
      <c r="S92" s="362">
        <v>8.23138974131397E-2</v>
      </c>
      <c r="T92" s="363">
        <v>7.5665595906228997E-2</v>
      </c>
      <c r="U92" s="362">
        <v>9.7318597694474901E-2</v>
      </c>
      <c r="V92" s="363">
        <v>7.9138696098157796E-2</v>
      </c>
      <c r="W92" s="359">
        <v>0.83145904399658821</v>
      </c>
      <c r="X92" s="378">
        <v>0</v>
      </c>
      <c r="Y92" s="360">
        <v>0.65000002384185795</v>
      </c>
      <c r="Z92" s="378">
        <v>0.83145904399658821</v>
      </c>
      <c r="AA92" s="378">
        <v>0</v>
      </c>
      <c r="AB92" s="360">
        <v>0.65000002384185795</v>
      </c>
      <c r="AC92" s="378">
        <v>0</v>
      </c>
      <c r="AD92" s="378">
        <v>0</v>
      </c>
      <c r="AE92" s="379">
        <v>0</v>
      </c>
      <c r="AF92" s="359">
        <v>8.1638391652255926</v>
      </c>
      <c r="AG92" s="378">
        <v>0</v>
      </c>
      <c r="AH92" s="360">
        <v>12.000000000000007</v>
      </c>
      <c r="AI92" s="378">
        <v>0</v>
      </c>
      <c r="AJ92" s="378">
        <v>0</v>
      </c>
      <c r="AK92" s="379">
        <v>0</v>
      </c>
      <c r="AL92" s="228" t="s">
        <v>377</v>
      </c>
      <c r="AM92" s="229" t="s">
        <v>331</v>
      </c>
      <c r="AN92" s="229" t="s">
        <v>276</v>
      </c>
      <c r="AO92" s="229" t="s">
        <v>277</v>
      </c>
      <c r="AP92" s="229" t="s">
        <v>378</v>
      </c>
    </row>
    <row r="93" spans="1:42" ht="12.75" customHeight="1" x14ac:dyDescent="0.15">
      <c r="A93" s="316"/>
      <c r="B93" s="222" t="s">
        <v>385</v>
      </c>
      <c r="C93" s="241" t="s">
        <v>386</v>
      </c>
      <c r="D93" s="380">
        <v>0</v>
      </c>
      <c r="E93" s="381">
        <v>0</v>
      </c>
      <c r="F93" s="381">
        <v>0</v>
      </c>
      <c r="G93" s="381">
        <v>0</v>
      </c>
      <c r="H93" s="358">
        <f t="shared" si="59"/>
        <v>0</v>
      </c>
      <c r="I93" s="499">
        <v>0</v>
      </c>
      <c r="J93" s="381">
        <v>0</v>
      </c>
      <c r="K93" s="381">
        <v>0</v>
      </c>
      <c r="L93" s="381">
        <v>0</v>
      </c>
      <c r="M93" s="358">
        <f t="shared" si="60"/>
        <v>0</v>
      </c>
      <c r="N93" s="382">
        <v>0</v>
      </c>
      <c r="O93" s="383">
        <v>0</v>
      </c>
      <c r="P93" s="383">
        <v>0</v>
      </c>
      <c r="Q93" s="383">
        <v>0</v>
      </c>
      <c r="R93" s="384">
        <v>0</v>
      </c>
      <c r="S93" s="362">
        <v>0</v>
      </c>
      <c r="T93" s="363">
        <v>0</v>
      </c>
      <c r="U93" s="362">
        <v>0</v>
      </c>
      <c r="V93" s="363">
        <v>0</v>
      </c>
      <c r="W93" s="382">
        <v>0</v>
      </c>
      <c r="X93" s="383">
        <v>0</v>
      </c>
      <c r="Y93" s="383">
        <v>0</v>
      </c>
      <c r="Z93" s="383">
        <v>0</v>
      </c>
      <c r="AA93" s="383">
        <v>0</v>
      </c>
      <c r="AB93" s="360">
        <v>0</v>
      </c>
      <c r="AC93" s="383">
        <v>0</v>
      </c>
      <c r="AD93" s="383">
        <v>0</v>
      </c>
      <c r="AE93" s="384">
        <v>0</v>
      </c>
      <c r="AF93" s="359">
        <v>0</v>
      </c>
      <c r="AG93" s="383">
        <v>0</v>
      </c>
      <c r="AH93" s="360">
        <v>0</v>
      </c>
      <c r="AI93" s="383">
        <v>0</v>
      </c>
      <c r="AJ93" s="383">
        <v>0</v>
      </c>
      <c r="AK93" s="384">
        <v>0</v>
      </c>
      <c r="AL93" s="228" t="s">
        <v>377</v>
      </c>
      <c r="AM93" s="229" t="s">
        <v>331</v>
      </c>
      <c r="AN93" s="229" t="s">
        <v>291</v>
      </c>
      <c r="AO93" s="229" t="s">
        <v>277</v>
      </c>
      <c r="AP93" s="229" t="s">
        <v>378</v>
      </c>
    </row>
    <row r="94" spans="1:42" ht="12.75" customHeight="1" x14ac:dyDescent="0.15">
      <c r="A94" s="316"/>
      <c r="B94" s="222" t="s">
        <v>387</v>
      </c>
      <c r="C94" s="241" t="s">
        <v>50</v>
      </c>
      <c r="D94" s="380">
        <v>694532.90916600008</v>
      </c>
      <c r="E94" s="381">
        <v>1118471.5820460001</v>
      </c>
      <c r="F94" s="381">
        <v>922664.26500000013</v>
      </c>
      <c r="G94" s="381">
        <v>110106</v>
      </c>
      <c r="H94" s="358">
        <f t="shared" si="59"/>
        <v>7.864474605918031E-5</v>
      </c>
      <c r="I94" s="499">
        <v>176.98764323079897</v>
      </c>
      <c r="J94" s="381">
        <v>164.12596067999999</v>
      </c>
      <c r="K94" s="381">
        <v>136.41210000000001</v>
      </c>
      <c r="L94" s="381">
        <v>0</v>
      </c>
      <c r="M94" s="358">
        <f t="shared" si="60"/>
        <v>0</v>
      </c>
      <c r="N94" s="382">
        <v>0</v>
      </c>
      <c r="O94" s="383">
        <v>0</v>
      </c>
      <c r="P94" s="383">
        <v>0</v>
      </c>
      <c r="Q94" s="383">
        <v>0</v>
      </c>
      <c r="R94" s="384">
        <v>0</v>
      </c>
      <c r="S94" s="362">
        <v>1.0178277353031699</v>
      </c>
      <c r="T94" s="363">
        <v>0.27578786315927301</v>
      </c>
      <c r="U94" s="362">
        <v>2.40452835195198</v>
      </c>
      <c r="V94" s="363">
        <v>0.290345980670415</v>
      </c>
      <c r="W94" s="359">
        <v>0.65000002384185829</v>
      </c>
      <c r="X94" s="383">
        <v>0</v>
      </c>
      <c r="Y94" s="360">
        <v>0.65000002384185784</v>
      </c>
      <c r="Z94" s="383">
        <v>0.65000002384185829</v>
      </c>
      <c r="AA94" s="383">
        <v>0</v>
      </c>
      <c r="AB94" s="360">
        <v>0.65000002384185784</v>
      </c>
      <c r="AC94" s="383">
        <v>0</v>
      </c>
      <c r="AD94" s="383">
        <v>0</v>
      </c>
      <c r="AE94" s="384">
        <v>0</v>
      </c>
      <c r="AF94" s="359">
        <v>12.279195795161376</v>
      </c>
      <c r="AG94" s="383">
        <v>0</v>
      </c>
      <c r="AH94" s="360">
        <v>11.999999999999998</v>
      </c>
      <c r="AI94" s="383">
        <v>0</v>
      </c>
      <c r="AJ94" s="383">
        <v>0</v>
      </c>
      <c r="AK94" s="384">
        <v>0</v>
      </c>
      <c r="AL94" s="228" t="s">
        <v>377</v>
      </c>
      <c r="AM94" s="229" t="s">
        <v>331</v>
      </c>
      <c r="AN94" s="229" t="s">
        <v>276</v>
      </c>
      <c r="AO94" s="229" t="s">
        <v>277</v>
      </c>
      <c r="AP94" s="229" t="s">
        <v>378</v>
      </c>
    </row>
    <row r="95" spans="1:42" ht="12.75" customHeight="1" x14ac:dyDescent="0.15">
      <c r="A95" s="316"/>
      <c r="B95" s="222" t="s">
        <v>388</v>
      </c>
      <c r="C95" s="241" t="s">
        <v>51</v>
      </c>
      <c r="D95" s="380">
        <v>19717.320680000001</v>
      </c>
      <c r="E95" s="381">
        <v>8328.4563319999997</v>
      </c>
      <c r="F95" s="381">
        <v>0</v>
      </c>
      <c r="G95" s="381">
        <v>16178.4</v>
      </c>
      <c r="H95" s="358">
        <f t="shared" si="59"/>
        <v>1.1555647827037969E-5</v>
      </c>
      <c r="I95" s="499">
        <v>2.7295402641611957</v>
      </c>
      <c r="J95" s="381">
        <v>1.3014285800000001</v>
      </c>
      <c r="K95" s="381">
        <v>0</v>
      </c>
      <c r="L95" s="381">
        <v>0</v>
      </c>
      <c r="M95" s="358">
        <f t="shared" si="60"/>
        <v>0</v>
      </c>
      <c r="N95" s="382">
        <v>0</v>
      </c>
      <c r="O95" s="383">
        <v>0</v>
      </c>
      <c r="P95" s="383">
        <v>0</v>
      </c>
      <c r="Q95" s="383">
        <v>0</v>
      </c>
      <c r="R95" s="384">
        <v>0</v>
      </c>
      <c r="S95" s="362">
        <v>5.9591747122226098E-2</v>
      </c>
      <c r="T95" s="363">
        <v>6.6280117103858602E-2</v>
      </c>
      <c r="U95" s="362">
        <v>5.9779923496228599E-2</v>
      </c>
      <c r="V95" s="363">
        <v>6.9000411797492806E-2</v>
      </c>
      <c r="W95" s="359">
        <v>0.65000002384185762</v>
      </c>
      <c r="X95" s="383">
        <v>0</v>
      </c>
      <c r="Y95" s="360">
        <v>0.65000002384185707</v>
      </c>
      <c r="Z95" s="383">
        <v>0.65000002384185762</v>
      </c>
      <c r="AA95" s="383">
        <v>0</v>
      </c>
      <c r="AB95" s="360">
        <v>0.65000002384185707</v>
      </c>
      <c r="AC95" s="383">
        <v>0</v>
      </c>
      <c r="AD95" s="383">
        <v>0</v>
      </c>
      <c r="AE95" s="384">
        <v>0</v>
      </c>
      <c r="AF95" s="359">
        <v>8.2509178341284457</v>
      </c>
      <c r="AG95" s="383">
        <v>0</v>
      </c>
      <c r="AH95" s="360">
        <v>11.99999999999998</v>
      </c>
      <c r="AI95" s="383">
        <v>0</v>
      </c>
      <c r="AJ95" s="383">
        <v>0</v>
      </c>
      <c r="AK95" s="384">
        <v>0</v>
      </c>
      <c r="AL95" s="228" t="s">
        <v>377</v>
      </c>
      <c r="AM95" s="229" t="s">
        <v>331</v>
      </c>
      <c r="AN95" s="229" t="s">
        <v>276</v>
      </c>
      <c r="AO95" s="229" t="s">
        <v>277</v>
      </c>
      <c r="AP95" s="229" t="s">
        <v>378</v>
      </c>
    </row>
    <row r="96" spans="1:42" ht="12.75" customHeight="1" x14ac:dyDescent="0.15">
      <c r="A96" s="316"/>
      <c r="B96" s="222" t="s">
        <v>389</v>
      </c>
      <c r="C96" s="241" t="s">
        <v>52</v>
      </c>
      <c r="D96" s="356">
        <v>2605538.04</v>
      </c>
      <c r="E96" s="357">
        <v>356444.93</v>
      </c>
      <c r="F96" s="357">
        <v>1640865.7310000001</v>
      </c>
      <c r="G96" s="357">
        <v>5054661.5</v>
      </c>
      <c r="H96" s="358">
        <f t="shared" si="59"/>
        <v>3.6103624696439381E-3</v>
      </c>
      <c r="I96" s="498">
        <v>21.228566844259323</v>
      </c>
      <c r="J96" s="357">
        <v>27.099</v>
      </c>
      <c r="K96" s="357">
        <v>35.830800000000004</v>
      </c>
      <c r="L96" s="357">
        <v>341.44600000000003</v>
      </c>
      <c r="M96" s="358">
        <f t="shared" si="60"/>
        <v>1.2209782533511529E-3</v>
      </c>
      <c r="N96" s="359">
        <v>0</v>
      </c>
      <c r="O96" s="360">
        <v>0</v>
      </c>
      <c r="P96" s="360">
        <v>0</v>
      </c>
      <c r="Q96" s="360">
        <v>0</v>
      </c>
      <c r="R96" s="361">
        <v>0</v>
      </c>
      <c r="S96" s="362">
        <v>0.288855991019697</v>
      </c>
      <c r="T96" s="363">
        <v>0.77843161721434695</v>
      </c>
      <c r="U96" s="362">
        <v>0.60824713596273905</v>
      </c>
      <c r="V96" s="363">
        <v>1.3485968351878299</v>
      </c>
      <c r="W96" s="359">
        <v>0.77565590005252427</v>
      </c>
      <c r="X96" s="360">
        <v>0</v>
      </c>
      <c r="Y96" s="360">
        <v>0.65000000733387786</v>
      </c>
      <c r="Z96" s="360">
        <v>0.77565590005252427</v>
      </c>
      <c r="AA96" s="360">
        <v>0</v>
      </c>
      <c r="AB96" s="360">
        <v>0.65000000733387786</v>
      </c>
      <c r="AC96" s="360">
        <v>0</v>
      </c>
      <c r="AD96" s="360">
        <v>0</v>
      </c>
      <c r="AE96" s="361">
        <v>0</v>
      </c>
      <c r="AF96" s="359">
        <v>12.719611554020421</v>
      </c>
      <c r="AG96" s="360">
        <v>0</v>
      </c>
      <c r="AH96" s="360">
        <v>12.00000000000002</v>
      </c>
      <c r="AI96" s="360">
        <v>0</v>
      </c>
      <c r="AJ96" s="360">
        <v>0</v>
      </c>
      <c r="AK96" s="361">
        <v>0</v>
      </c>
      <c r="AL96" s="228" t="s">
        <v>377</v>
      </c>
      <c r="AM96" s="229" t="s">
        <v>331</v>
      </c>
      <c r="AN96" s="229" t="s">
        <v>276</v>
      </c>
      <c r="AO96" s="229" t="s">
        <v>277</v>
      </c>
      <c r="AP96" s="229" t="s">
        <v>378</v>
      </c>
    </row>
    <row r="97" spans="1:42" ht="12.75" customHeight="1" x14ac:dyDescent="0.15">
      <c r="A97" s="316"/>
      <c r="B97" s="222" t="s">
        <v>390</v>
      </c>
      <c r="C97" s="241" t="s">
        <v>53</v>
      </c>
      <c r="D97" s="380">
        <v>1099916.888</v>
      </c>
      <c r="E97" s="381">
        <v>1087771.2027970001</v>
      </c>
      <c r="F97" s="381">
        <v>1204014.9780000001</v>
      </c>
      <c r="G97" s="381">
        <v>1707002.6089999999</v>
      </c>
      <c r="H97" s="358">
        <f t="shared" si="59"/>
        <v>1.2192504196607201E-3</v>
      </c>
      <c r="I97" s="499">
        <v>48.328274762525638</v>
      </c>
      <c r="J97" s="381">
        <v>60.424126999999999</v>
      </c>
      <c r="K97" s="381">
        <v>0</v>
      </c>
      <c r="L97" s="381">
        <v>138.05385824939901</v>
      </c>
      <c r="M97" s="358">
        <f t="shared" si="60"/>
        <v>4.9366739898472627E-4</v>
      </c>
      <c r="N97" s="382">
        <v>0</v>
      </c>
      <c r="O97" s="383">
        <v>0</v>
      </c>
      <c r="P97" s="383">
        <v>0</v>
      </c>
      <c r="Q97" s="383">
        <v>0</v>
      </c>
      <c r="R97" s="384">
        <v>0</v>
      </c>
      <c r="S97" s="362">
        <v>0.62666168063050298</v>
      </c>
      <c r="T97" s="363">
        <v>0.66414780358477299</v>
      </c>
      <c r="U97" s="362">
        <v>1.0617453736093401</v>
      </c>
      <c r="V97" s="363">
        <v>1.12901639878219</v>
      </c>
      <c r="W97" s="359">
        <v>0.77262152960404773</v>
      </c>
      <c r="X97" s="383">
        <v>0</v>
      </c>
      <c r="Y97" s="360">
        <v>0.65000001371504645</v>
      </c>
      <c r="Z97" s="383">
        <v>0.77262152960404773</v>
      </c>
      <c r="AA97" s="383">
        <v>0</v>
      </c>
      <c r="AB97" s="360">
        <v>0.65000001371504645</v>
      </c>
      <c r="AC97" s="383">
        <v>0</v>
      </c>
      <c r="AD97" s="383">
        <v>0</v>
      </c>
      <c r="AE97" s="384">
        <v>0</v>
      </c>
      <c r="AF97" s="359">
        <v>8.8438351413601843</v>
      </c>
      <c r="AG97" s="383">
        <v>0</v>
      </c>
      <c r="AH97" s="360">
        <v>10.979286230636086</v>
      </c>
      <c r="AI97" s="383">
        <v>0</v>
      </c>
      <c r="AJ97" s="383">
        <v>0</v>
      </c>
      <c r="AK97" s="384">
        <v>0</v>
      </c>
      <c r="AL97" s="228" t="s">
        <v>377</v>
      </c>
      <c r="AM97" s="229" t="s">
        <v>331</v>
      </c>
      <c r="AN97" s="229" t="s">
        <v>276</v>
      </c>
      <c r="AO97" s="229" t="s">
        <v>277</v>
      </c>
      <c r="AP97" s="229" t="s">
        <v>378</v>
      </c>
    </row>
    <row r="98" spans="1:42" ht="12.75" customHeight="1" x14ac:dyDescent="0.15">
      <c r="A98" s="385"/>
      <c r="B98" s="222" t="s">
        <v>391</v>
      </c>
      <c r="C98" s="241" t="s">
        <v>54</v>
      </c>
      <c r="D98" s="380">
        <v>1782303.5963830003</v>
      </c>
      <c r="E98" s="381">
        <v>175509.67481200001</v>
      </c>
      <c r="F98" s="381">
        <v>782365.90469999996</v>
      </c>
      <c r="G98" s="381">
        <v>253152.62100000001</v>
      </c>
      <c r="H98" s="358">
        <f t="shared" si="59"/>
        <v>1.8081779006376509E-4</v>
      </c>
      <c r="I98" s="499">
        <v>264.3065313642652</v>
      </c>
      <c r="J98" s="381">
        <v>25.12178432</v>
      </c>
      <c r="K98" s="381">
        <v>92.026067000000012</v>
      </c>
      <c r="L98" s="381">
        <v>3.9128395980647599</v>
      </c>
      <c r="M98" s="358">
        <f t="shared" si="60"/>
        <v>1.3991940330501272E-5</v>
      </c>
      <c r="N98" s="382">
        <v>0</v>
      </c>
      <c r="O98" s="383">
        <v>0</v>
      </c>
      <c r="P98" s="383">
        <v>0</v>
      </c>
      <c r="Q98" s="383">
        <v>0</v>
      </c>
      <c r="R98" s="384">
        <v>0</v>
      </c>
      <c r="S98" s="362">
        <v>8.7772259755747498E-2</v>
      </c>
      <c r="T98" s="363">
        <v>0.30261916223169</v>
      </c>
      <c r="U98" s="362">
        <v>0.121853746117945</v>
      </c>
      <c r="V98" s="363">
        <v>0.34382846632272202</v>
      </c>
      <c r="W98" s="359">
        <v>0.7448254617389507</v>
      </c>
      <c r="X98" s="383">
        <v>0</v>
      </c>
      <c r="Y98" s="360">
        <v>0.65000002384185862</v>
      </c>
      <c r="Z98" s="383">
        <v>0.7448254617389507</v>
      </c>
      <c r="AA98" s="383">
        <v>0</v>
      </c>
      <c r="AB98" s="360">
        <v>0.65000002384185862</v>
      </c>
      <c r="AC98" s="383">
        <v>0</v>
      </c>
      <c r="AD98" s="383">
        <v>0</v>
      </c>
      <c r="AE98" s="384">
        <v>0</v>
      </c>
      <c r="AF98" s="359">
        <v>5.571108488285148</v>
      </c>
      <c r="AG98" s="383">
        <v>0</v>
      </c>
      <c r="AH98" s="360">
        <v>12.28156927516066</v>
      </c>
      <c r="AI98" s="383">
        <v>0</v>
      </c>
      <c r="AJ98" s="383">
        <v>0</v>
      </c>
      <c r="AK98" s="384">
        <v>0</v>
      </c>
      <c r="AL98" s="228" t="s">
        <v>377</v>
      </c>
      <c r="AM98" s="229" t="s">
        <v>331</v>
      </c>
      <c r="AN98" s="229" t="s">
        <v>276</v>
      </c>
      <c r="AO98" s="229" t="s">
        <v>277</v>
      </c>
      <c r="AP98" s="229" t="s">
        <v>378</v>
      </c>
    </row>
    <row r="99" spans="1:42" ht="12.75" customHeight="1" x14ac:dyDescent="0.15">
      <c r="A99" s="385"/>
      <c r="B99" s="222" t="s">
        <v>392</v>
      </c>
      <c r="C99" s="241" t="s">
        <v>55</v>
      </c>
      <c r="D99" s="380">
        <v>1597502.7</v>
      </c>
      <c r="E99" s="381">
        <v>521189.76048336498</v>
      </c>
      <c r="F99" s="381">
        <v>1799695.9475480001</v>
      </c>
      <c r="G99" s="381">
        <v>913640.76</v>
      </c>
      <c r="H99" s="358">
        <f t="shared" si="59"/>
        <v>6.5258065463749931E-4</v>
      </c>
      <c r="I99" s="499">
        <v>398.30683329000004</v>
      </c>
      <c r="J99" s="381">
        <v>41.5314038618681</v>
      </c>
      <c r="K99" s="381">
        <v>77.47778722000001</v>
      </c>
      <c r="L99" s="381">
        <v>19.779763143875702</v>
      </c>
      <c r="M99" s="358">
        <f t="shared" si="60"/>
        <v>7.0730542033319645E-5</v>
      </c>
      <c r="N99" s="382">
        <v>0</v>
      </c>
      <c r="O99" s="383">
        <v>0</v>
      </c>
      <c r="P99" s="383">
        <v>0</v>
      </c>
      <c r="Q99" s="383">
        <v>0</v>
      </c>
      <c r="R99" s="384">
        <v>0</v>
      </c>
      <c r="S99" s="362">
        <v>0.30101332294966898</v>
      </c>
      <c r="T99" s="363">
        <v>0.48187774155628799</v>
      </c>
      <c r="U99" s="362">
        <v>0.41472401230432798</v>
      </c>
      <c r="V99" s="363">
        <v>0.68306284615524004</v>
      </c>
      <c r="W99" s="359">
        <v>0.78143681291025324</v>
      </c>
      <c r="X99" s="383">
        <v>0</v>
      </c>
      <c r="Y99" s="360">
        <v>0.65000002384185773</v>
      </c>
      <c r="Z99" s="383">
        <v>0.78143681291025324</v>
      </c>
      <c r="AA99" s="383">
        <v>0</v>
      </c>
      <c r="AB99" s="360">
        <v>0.65000002384185773</v>
      </c>
      <c r="AC99" s="383">
        <v>0</v>
      </c>
      <c r="AD99" s="383">
        <v>0</v>
      </c>
      <c r="AE99" s="384">
        <v>0</v>
      </c>
      <c r="AF99" s="359">
        <v>11.788398527897105</v>
      </c>
      <c r="AG99" s="383">
        <v>0</v>
      </c>
      <c r="AH99" s="360">
        <v>11.717017099515923</v>
      </c>
      <c r="AI99" s="383">
        <v>0</v>
      </c>
      <c r="AJ99" s="383">
        <v>0</v>
      </c>
      <c r="AK99" s="384">
        <v>0</v>
      </c>
      <c r="AL99" s="228" t="s">
        <v>377</v>
      </c>
      <c r="AM99" s="229" t="s">
        <v>331</v>
      </c>
      <c r="AN99" s="229" t="s">
        <v>276</v>
      </c>
      <c r="AO99" s="229" t="s">
        <v>277</v>
      </c>
      <c r="AP99" s="229" t="s">
        <v>378</v>
      </c>
    </row>
    <row r="100" spans="1:42" ht="12.75" customHeight="1" x14ac:dyDescent="0.15">
      <c r="A100" s="385"/>
      <c r="B100" s="222" t="s">
        <v>393</v>
      </c>
      <c r="C100" s="241" t="s">
        <v>56</v>
      </c>
      <c r="D100" s="380">
        <v>494770.08</v>
      </c>
      <c r="E100" s="381">
        <v>396051.48</v>
      </c>
      <c r="F100" s="381">
        <v>200312.79000000004</v>
      </c>
      <c r="G100" s="381">
        <v>317790</v>
      </c>
      <c r="H100" s="358">
        <f t="shared" si="59"/>
        <v>2.2698593945967441E-4</v>
      </c>
      <c r="I100" s="499">
        <v>62.223826118737826</v>
      </c>
      <c r="J100" s="381">
        <v>16.559999999999999</v>
      </c>
      <c r="K100" s="381">
        <v>10.4772</v>
      </c>
      <c r="L100" s="381">
        <v>0</v>
      </c>
      <c r="M100" s="358">
        <f t="shared" si="60"/>
        <v>0</v>
      </c>
      <c r="N100" s="382">
        <v>0</v>
      </c>
      <c r="O100" s="383">
        <v>0</v>
      </c>
      <c r="P100" s="383">
        <v>0</v>
      </c>
      <c r="Q100" s="383">
        <v>0</v>
      </c>
      <c r="R100" s="384">
        <v>0</v>
      </c>
      <c r="S100" s="362">
        <v>0.421691782887123</v>
      </c>
      <c r="T100" s="363">
        <v>0.45575497630559098</v>
      </c>
      <c r="U100" s="362">
        <v>0.98956975836755101</v>
      </c>
      <c r="V100" s="363">
        <v>0.789342461560534</v>
      </c>
      <c r="W100" s="359">
        <v>0.82660331541395327</v>
      </c>
      <c r="X100" s="383">
        <v>0</v>
      </c>
      <c r="Y100" s="360">
        <v>0.65000002384185784</v>
      </c>
      <c r="Z100" s="383">
        <v>0.82660331541395327</v>
      </c>
      <c r="AA100" s="383">
        <v>0</v>
      </c>
      <c r="AB100" s="360">
        <v>0.65000002384185784</v>
      </c>
      <c r="AC100" s="383">
        <v>0</v>
      </c>
      <c r="AD100" s="383">
        <v>0</v>
      </c>
      <c r="AE100" s="384">
        <v>0</v>
      </c>
      <c r="AF100" s="359">
        <v>10.283498508830215</v>
      </c>
      <c r="AG100" s="383">
        <v>0</v>
      </c>
      <c r="AH100" s="360">
        <v>12.000000000000011</v>
      </c>
      <c r="AI100" s="383">
        <v>0</v>
      </c>
      <c r="AJ100" s="383">
        <v>0</v>
      </c>
      <c r="AK100" s="384">
        <v>0</v>
      </c>
      <c r="AL100" s="228" t="s">
        <v>377</v>
      </c>
      <c r="AM100" s="229" t="s">
        <v>331</v>
      </c>
      <c r="AN100" s="229" t="s">
        <v>276</v>
      </c>
      <c r="AO100" s="229" t="s">
        <v>277</v>
      </c>
      <c r="AP100" s="229" t="s">
        <v>378</v>
      </c>
    </row>
    <row r="101" spans="1:42" ht="12.75" customHeight="1" x14ac:dyDescent="0.15">
      <c r="A101" s="385"/>
      <c r="B101" s="222" t="s">
        <v>394</v>
      </c>
      <c r="C101" s="241" t="s">
        <v>57</v>
      </c>
      <c r="D101" s="380">
        <v>1732500</v>
      </c>
      <c r="E101" s="381">
        <v>327750.12</v>
      </c>
      <c r="F101" s="381">
        <v>1809351.0899999999</v>
      </c>
      <c r="G101" s="381">
        <v>252787.5</v>
      </c>
      <c r="H101" s="358">
        <f t="shared" si="59"/>
        <v>1.8055699729746828E-4</v>
      </c>
      <c r="I101" s="499">
        <v>197.4958993455536</v>
      </c>
      <c r="J101" s="381">
        <v>11.186999999999999</v>
      </c>
      <c r="K101" s="381">
        <v>214.44300000000001</v>
      </c>
      <c r="L101" s="381">
        <v>8.2448630136986303</v>
      </c>
      <c r="M101" s="358">
        <f t="shared" si="60"/>
        <v>2.9482841918151847E-5</v>
      </c>
      <c r="N101" s="382">
        <v>0</v>
      </c>
      <c r="O101" s="383">
        <v>0</v>
      </c>
      <c r="P101" s="383">
        <v>0</v>
      </c>
      <c r="Q101" s="383">
        <v>0</v>
      </c>
      <c r="R101" s="384">
        <v>0</v>
      </c>
      <c r="S101" s="362">
        <v>0.197567733622251</v>
      </c>
      <c r="T101" s="363">
        <v>0.28218824860500302</v>
      </c>
      <c r="U101" s="362">
        <v>0.30550109549356602</v>
      </c>
      <c r="V101" s="363">
        <v>0.37934452692835702</v>
      </c>
      <c r="W101" s="359">
        <v>0.76388541753016292</v>
      </c>
      <c r="X101" s="383">
        <v>0</v>
      </c>
      <c r="Y101" s="360">
        <v>0.65000002384185929</v>
      </c>
      <c r="Z101" s="383">
        <v>0.76388541753016292</v>
      </c>
      <c r="AA101" s="383">
        <v>0</v>
      </c>
      <c r="AB101" s="360">
        <v>0.65000002384185929</v>
      </c>
      <c r="AC101" s="383">
        <v>0</v>
      </c>
      <c r="AD101" s="383">
        <v>0</v>
      </c>
      <c r="AE101" s="384">
        <v>0</v>
      </c>
      <c r="AF101" s="359">
        <v>9.9805328217728793</v>
      </c>
      <c r="AG101" s="383">
        <v>0</v>
      </c>
      <c r="AH101" s="360">
        <v>10</v>
      </c>
      <c r="AI101" s="383">
        <v>0</v>
      </c>
      <c r="AJ101" s="383">
        <v>0</v>
      </c>
      <c r="AK101" s="384">
        <v>0</v>
      </c>
      <c r="AL101" s="228" t="s">
        <v>377</v>
      </c>
      <c r="AM101" s="229" t="s">
        <v>331</v>
      </c>
      <c r="AN101" s="229" t="s">
        <v>276</v>
      </c>
      <c r="AO101" s="229" t="s">
        <v>277</v>
      </c>
      <c r="AP101" s="229" t="s">
        <v>378</v>
      </c>
    </row>
    <row r="102" spans="1:42" ht="12.75" customHeight="1" x14ac:dyDescent="0.15">
      <c r="A102" s="385"/>
      <c r="B102" s="222" t="s">
        <v>395</v>
      </c>
      <c r="C102" s="241" t="s">
        <v>58</v>
      </c>
      <c r="D102" s="380">
        <v>774000</v>
      </c>
      <c r="E102" s="381">
        <v>236660.92629999999</v>
      </c>
      <c r="F102" s="381">
        <v>219679.36200000002</v>
      </c>
      <c r="G102" s="381">
        <v>173547.9</v>
      </c>
      <c r="H102" s="358">
        <f t="shared" si="59"/>
        <v>1.2395900790696256E-4</v>
      </c>
      <c r="I102" s="499">
        <v>126.27398226734479</v>
      </c>
      <c r="J102" s="381">
        <v>52.900693999999902</v>
      </c>
      <c r="K102" s="381">
        <v>79.704900000000009</v>
      </c>
      <c r="L102" s="381">
        <v>46.779734694800602</v>
      </c>
      <c r="M102" s="358">
        <f t="shared" si="60"/>
        <v>1.6727985906962731E-4</v>
      </c>
      <c r="N102" s="382">
        <v>0</v>
      </c>
      <c r="O102" s="383">
        <v>0</v>
      </c>
      <c r="P102" s="383">
        <v>0</v>
      </c>
      <c r="Q102" s="383">
        <v>0</v>
      </c>
      <c r="R102" s="384">
        <v>0</v>
      </c>
      <c r="S102" s="362">
        <v>0.24793282670741501</v>
      </c>
      <c r="T102" s="363">
        <v>0.222849066766757</v>
      </c>
      <c r="U102" s="362">
        <v>0.34985510691598398</v>
      </c>
      <c r="V102" s="363">
        <v>0.25587426825950299</v>
      </c>
      <c r="W102" s="359">
        <v>0.69263359904310073</v>
      </c>
      <c r="X102" s="383">
        <v>0</v>
      </c>
      <c r="Y102" s="360">
        <v>0.65000002384185573</v>
      </c>
      <c r="Z102" s="383">
        <v>0.69263359904310073</v>
      </c>
      <c r="AA102" s="383">
        <v>0</v>
      </c>
      <c r="AB102" s="360">
        <v>0.65000002384185573</v>
      </c>
      <c r="AC102" s="383">
        <v>0</v>
      </c>
      <c r="AD102" s="383">
        <v>0</v>
      </c>
      <c r="AE102" s="384">
        <v>0</v>
      </c>
      <c r="AF102" s="359">
        <v>5.4818767114746993</v>
      </c>
      <c r="AG102" s="383">
        <v>0</v>
      </c>
      <c r="AH102" s="360">
        <v>4.2637552880973164</v>
      </c>
      <c r="AI102" s="383">
        <v>0</v>
      </c>
      <c r="AJ102" s="383">
        <v>0</v>
      </c>
      <c r="AK102" s="384">
        <v>0</v>
      </c>
      <c r="AL102" s="228" t="s">
        <v>377</v>
      </c>
      <c r="AM102" s="229" t="s">
        <v>331</v>
      </c>
      <c r="AN102" s="229" t="s">
        <v>276</v>
      </c>
      <c r="AO102" s="229" t="s">
        <v>277</v>
      </c>
      <c r="AP102" s="229" t="s">
        <v>378</v>
      </c>
    </row>
    <row r="103" spans="1:42" ht="12.75" customHeight="1" x14ac:dyDescent="0.15">
      <c r="A103" s="385"/>
      <c r="B103" s="222" t="s">
        <v>396</v>
      </c>
      <c r="C103" s="241" t="s">
        <v>202</v>
      </c>
      <c r="D103" s="380">
        <v>233893.79869999998</v>
      </c>
      <c r="E103" s="381">
        <v>166892.29837618</v>
      </c>
      <c r="F103" s="381">
        <v>178661.61600000001</v>
      </c>
      <c r="G103" s="381">
        <v>77040</v>
      </c>
      <c r="H103" s="358">
        <f t="shared" ref="H103:H117" si="70">+G103/$G$123</f>
        <v>5.5026894414466526E-5</v>
      </c>
      <c r="I103" s="499">
        <v>0.81144909303686408</v>
      </c>
      <c r="J103" s="381">
        <v>45.559419618918</v>
      </c>
      <c r="K103" s="381">
        <v>45.715252500000005</v>
      </c>
      <c r="L103" s="381">
        <v>0</v>
      </c>
      <c r="M103" s="358">
        <f t="shared" ref="M103:M117" si="71">+L103/$L$123</f>
        <v>0</v>
      </c>
      <c r="N103" s="382">
        <v>0</v>
      </c>
      <c r="O103" s="383">
        <v>0</v>
      </c>
      <c r="P103" s="383">
        <v>0</v>
      </c>
      <c r="Q103" s="383">
        <v>0</v>
      </c>
      <c r="R103" s="384">
        <v>0</v>
      </c>
      <c r="S103" s="362">
        <v>0.133281183057742</v>
      </c>
      <c r="T103" s="363">
        <v>0.33898073134058598</v>
      </c>
      <c r="U103" s="362">
        <v>1.07900348110834</v>
      </c>
      <c r="V103" s="363">
        <v>0.422754703399427</v>
      </c>
      <c r="W103" s="359">
        <v>0.65000002384186106</v>
      </c>
      <c r="X103" s="383">
        <v>0</v>
      </c>
      <c r="Y103" s="360">
        <v>0.6500000238418574</v>
      </c>
      <c r="Z103" s="383">
        <v>0.65000002384186106</v>
      </c>
      <c r="AA103" s="383">
        <v>0</v>
      </c>
      <c r="AB103" s="360">
        <v>0.6500000238418574</v>
      </c>
      <c r="AC103" s="383">
        <v>0</v>
      </c>
      <c r="AD103" s="383">
        <v>0</v>
      </c>
      <c r="AE103" s="384">
        <v>0</v>
      </c>
      <c r="AF103" s="359">
        <v>0</v>
      </c>
      <c r="AG103" s="383">
        <v>0</v>
      </c>
      <c r="AH103" s="360">
        <v>12.000000000000014</v>
      </c>
      <c r="AI103" s="383">
        <v>0</v>
      </c>
      <c r="AJ103" s="383">
        <v>0</v>
      </c>
      <c r="AK103" s="384">
        <v>0</v>
      </c>
      <c r="AL103" s="228" t="s">
        <v>377</v>
      </c>
      <c r="AM103" s="229" t="s">
        <v>331</v>
      </c>
      <c r="AN103" s="229" t="s">
        <v>276</v>
      </c>
      <c r="AO103" s="229" t="s">
        <v>277</v>
      </c>
      <c r="AP103" s="229" t="s">
        <v>378</v>
      </c>
    </row>
    <row r="104" spans="1:42" ht="12.75" customHeight="1" x14ac:dyDescent="0.15">
      <c r="A104" s="385"/>
      <c r="B104" s="222" t="s">
        <v>397</v>
      </c>
      <c r="C104" s="241" t="s">
        <v>60</v>
      </c>
      <c r="D104" s="380">
        <v>379179.95958200027</v>
      </c>
      <c r="E104" s="381">
        <v>23178.959999999999</v>
      </c>
      <c r="F104" s="381">
        <v>1414915.4340000001</v>
      </c>
      <c r="G104" s="381">
        <v>278705.7</v>
      </c>
      <c r="H104" s="358">
        <f t="shared" si="70"/>
        <v>1.9906943310760622E-4</v>
      </c>
      <c r="I104" s="499">
        <v>56.855184378876601</v>
      </c>
      <c r="J104" s="381">
        <v>0</v>
      </c>
      <c r="K104" s="381">
        <v>36.624744000000007</v>
      </c>
      <c r="L104" s="381">
        <v>2.2700117255082</v>
      </c>
      <c r="M104" s="358">
        <f t="shared" si="71"/>
        <v>8.117344914562298E-6</v>
      </c>
      <c r="N104" s="382">
        <v>0</v>
      </c>
      <c r="O104" s="383">
        <v>0</v>
      </c>
      <c r="P104" s="383">
        <v>0</v>
      </c>
      <c r="Q104" s="383">
        <v>0</v>
      </c>
      <c r="R104" s="384">
        <v>0</v>
      </c>
      <c r="S104" s="362">
        <v>9.3349032388585093E-2</v>
      </c>
      <c r="T104" s="363">
        <v>0.37655561135267002</v>
      </c>
      <c r="U104" s="362">
        <v>0.108792598264668</v>
      </c>
      <c r="V104" s="363">
        <v>0.87908385834911595</v>
      </c>
      <c r="W104" s="359">
        <v>0.90000002384185929</v>
      </c>
      <c r="X104" s="383">
        <v>0</v>
      </c>
      <c r="Y104" s="360">
        <v>0.67037377171119927</v>
      </c>
      <c r="Z104" s="383">
        <v>0.90000002384185929</v>
      </c>
      <c r="AA104" s="383">
        <v>0</v>
      </c>
      <c r="AB104" s="360">
        <v>0.67037377171119927</v>
      </c>
      <c r="AC104" s="383">
        <v>0</v>
      </c>
      <c r="AD104" s="383">
        <v>0</v>
      </c>
      <c r="AE104" s="384">
        <v>0</v>
      </c>
      <c r="AF104" s="359">
        <v>12.000000000000002</v>
      </c>
      <c r="AG104" s="383">
        <v>0</v>
      </c>
      <c r="AH104" s="360">
        <v>7.8546802224039638</v>
      </c>
      <c r="AI104" s="383">
        <v>0</v>
      </c>
      <c r="AJ104" s="383">
        <v>0</v>
      </c>
      <c r="AK104" s="384">
        <v>0</v>
      </c>
      <c r="AL104" s="228" t="s">
        <v>377</v>
      </c>
      <c r="AM104" s="229" t="s">
        <v>331</v>
      </c>
      <c r="AN104" s="229" t="s">
        <v>276</v>
      </c>
      <c r="AO104" s="229" t="s">
        <v>277</v>
      </c>
      <c r="AP104" s="229" t="s">
        <v>378</v>
      </c>
    </row>
    <row r="105" spans="1:42" ht="12.75" customHeight="1" x14ac:dyDescent="0.15">
      <c r="A105" s="385"/>
      <c r="B105" s="222" t="s">
        <v>398</v>
      </c>
      <c r="C105" s="241" t="s">
        <v>89</v>
      </c>
      <c r="D105" s="380">
        <v>0</v>
      </c>
      <c r="E105" s="381">
        <v>0</v>
      </c>
      <c r="F105" s="381">
        <v>0</v>
      </c>
      <c r="G105" s="381">
        <v>0</v>
      </c>
      <c r="H105" s="358">
        <f t="shared" si="70"/>
        <v>0</v>
      </c>
      <c r="I105" s="499">
        <v>0</v>
      </c>
      <c r="J105" s="381">
        <v>0</v>
      </c>
      <c r="K105" s="381">
        <v>0</v>
      </c>
      <c r="L105" s="381">
        <v>0</v>
      </c>
      <c r="M105" s="358">
        <f t="shared" si="71"/>
        <v>0</v>
      </c>
      <c r="N105" s="382">
        <v>0</v>
      </c>
      <c r="O105" s="383">
        <v>0</v>
      </c>
      <c r="P105" s="383">
        <v>0</v>
      </c>
      <c r="Q105" s="383">
        <v>0</v>
      </c>
      <c r="R105" s="384">
        <v>0</v>
      </c>
      <c r="S105" s="362">
        <v>0</v>
      </c>
      <c r="T105" s="363">
        <v>0</v>
      </c>
      <c r="U105" s="362">
        <v>0</v>
      </c>
      <c r="V105" s="363">
        <v>0</v>
      </c>
      <c r="W105" s="382">
        <v>0</v>
      </c>
      <c r="X105" s="383">
        <v>0</v>
      </c>
      <c r="Y105" s="383">
        <v>0</v>
      </c>
      <c r="Z105" s="383">
        <v>0</v>
      </c>
      <c r="AA105" s="383">
        <v>0</v>
      </c>
      <c r="AB105" s="360">
        <v>0</v>
      </c>
      <c r="AC105" s="383">
        <v>0</v>
      </c>
      <c r="AD105" s="383">
        <v>0</v>
      </c>
      <c r="AE105" s="384">
        <v>0</v>
      </c>
      <c r="AF105" s="359">
        <v>0</v>
      </c>
      <c r="AG105" s="383">
        <v>0</v>
      </c>
      <c r="AH105" s="360">
        <v>0</v>
      </c>
      <c r="AI105" s="383">
        <v>0</v>
      </c>
      <c r="AJ105" s="383">
        <v>0</v>
      </c>
      <c r="AK105" s="384">
        <v>0</v>
      </c>
      <c r="AL105" s="228" t="s">
        <v>377</v>
      </c>
      <c r="AM105" s="229" t="s">
        <v>331</v>
      </c>
      <c r="AN105" s="229" t="s">
        <v>291</v>
      </c>
      <c r="AO105" s="229" t="s">
        <v>277</v>
      </c>
      <c r="AP105" s="229" t="s">
        <v>378</v>
      </c>
    </row>
    <row r="106" spans="1:42" ht="12.75" customHeight="1" x14ac:dyDescent="0.15">
      <c r="A106" s="385"/>
      <c r="B106" s="222" t="s">
        <v>183</v>
      </c>
      <c r="C106" s="241" t="s">
        <v>201</v>
      </c>
      <c r="D106" s="380">
        <v>0</v>
      </c>
      <c r="E106" s="381">
        <v>0</v>
      </c>
      <c r="F106" s="381">
        <v>6997.8934449392</v>
      </c>
      <c r="G106" s="381">
        <v>529727.25378599996</v>
      </c>
      <c r="H106" s="358">
        <f t="shared" si="70"/>
        <v>3.7836507869350378E-4</v>
      </c>
      <c r="I106" s="499">
        <v>0</v>
      </c>
      <c r="J106" s="381">
        <v>0</v>
      </c>
      <c r="K106" s="381">
        <v>1.7486603233113602</v>
      </c>
      <c r="L106" s="381">
        <v>101.144481704588</v>
      </c>
      <c r="M106" s="358">
        <f t="shared" si="71"/>
        <v>3.6168299704133447E-4</v>
      </c>
      <c r="N106" s="382">
        <v>0</v>
      </c>
      <c r="O106" s="383">
        <v>0</v>
      </c>
      <c r="P106" s="383">
        <v>0</v>
      </c>
      <c r="Q106" s="383">
        <v>0</v>
      </c>
      <c r="R106" s="384">
        <v>0</v>
      </c>
      <c r="S106" s="362">
        <v>0</v>
      </c>
      <c r="T106" s="363">
        <v>2.43010328983102</v>
      </c>
      <c r="U106" s="362">
        <v>0</v>
      </c>
      <c r="V106" s="363">
        <v>2.88443437610057</v>
      </c>
      <c r="W106" s="382">
        <v>0</v>
      </c>
      <c r="X106" s="383">
        <v>0</v>
      </c>
      <c r="Y106" s="360">
        <v>0.65000002384185807</v>
      </c>
      <c r="Z106" s="383">
        <v>0</v>
      </c>
      <c r="AA106" s="383">
        <v>0</v>
      </c>
      <c r="AB106" s="360">
        <v>0.65000002384185807</v>
      </c>
      <c r="AC106" s="383">
        <v>0</v>
      </c>
      <c r="AD106" s="383">
        <v>0</v>
      </c>
      <c r="AE106" s="384">
        <v>0</v>
      </c>
      <c r="AF106" s="359">
        <v>0</v>
      </c>
      <c r="AG106" s="383">
        <v>0</v>
      </c>
      <c r="AH106" s="360">
        <v>10.614293295145254</v>
      </c>
      <c r="AI106" s="383">
        <v>0</v>
      </c>
      <c r="AJ106" s="383">
        <v>0</v>
      </c>
      <c r="AK106" s="384">
        <v>0</v>
      </c>
      <c r="AL106" s="228" t="s">
        <v>377</v>
      </c>
      <c r="AM106" s="229" t="s">
        <v>331</v>
      </c>
      <c r="AN106" s="229" t="s">
        <v>276</v>
      </c>
      <c r="AO106" s="229" t="s">
        <v>277</v>
      </c>
      <c r="AP106" s="229" t="s">
        <v>378</v>
      </c>
    </row>
    <row r="107" spans="1:42" ht="12.75" customHeight="1" x14ac:dyDescent="0.15">
      <c r="A107" s="385"/>
      <c r="B107" s="222" t="s">
        <v>184</v>
      </c>
      <c r="C107" s="241" t="s">
        <v>67</v>
      </c>
      <c r="D107" s="380">
        <v>0</v>
      </c>
      <c r="E107" s="381">
        <v>0</v>
      </c>
      <c r="F107" s="381">
        <v>130500.501</v>
      </c>
      <c r="G107" s="381">
        <v>319377.69</v>
      </c>
      <c r="H107" s="358">
        <f t="shared" si="70"/>
        <v>2.2811996918440058E-4</v>
      </c>
      <c r="I107" s="499">
        <v>0</v>
      </c>
      <c r="J107" s="381">
        <v>0</v>
      </c>
      <c r="K107" s="381">
        <v>26.693891000000001</v>
      </c>
      <c r="L107" s="381">
        <v>23.445923024752499</v>
      </c>
      <c r="M107" s="358">
        <f t="shared" si="71"/>
        <v>8.3840379278034838E-5</v>
      </c>
      <c r="N107" s="382">
        <v>0</v>
      </c>
      <c r="O107" s="383">
        <v>0</v>
      </c>
      <c r="P107" s="383">
        <v>0</v>
      </c>
      <c r="Q107" s="383">
        <v>0</v>
      </c>
      <c r="R107" s="384">
        <v>0</v>
      </c>
      <c r="S107" s="362">
        <v>0</v>
      </c>
      <c r="T107" s="363">
        <v>1.3222616850201301</v>
      </c>
      <c r="U107" s="362">
        <v>0</v>
      </c>
      <c r="V107" s="363">
        <v>1.8035144246833901</v>
      </c>
      <c r="W107" s="382">
        <v>0</v>
      </c>
      <c r="X107" s="383">
        <v>0</v>
      </c>
      <c r="Y107" s="360">
        <v>0.6500000238418594</v>
      </c>
      <c r="Z107" s="383">
        <v>0</v>
      </c>
      <c r="AA107" s="383">
        <v>0</v>
      </c>
      <c r="AB107" s="360">
        <v>0.6500000238418594</v>
      </c>
      <c r="AC107" s="383">
        <v>0</v>
      </c>
      <c r="AD107" s="383">
        <v>0</v>
      </c>
      <c r="AE107" s="384">
        <v>0</v>
      </c>
      <c r="AF107" s="359">
        <v>0</v>
      </c>
      <c r="AG107" s="383">
        <v>0</v>
      </c>
      <c r="AH107" s="360">
        <v>11.624317027278863</v>
      </c>
      <c r="AI107" s="383">
        <v>0</v>
      </c>
      <c r="AJ107" s="383">
        <v>0</v>
      </c>
      <c r="AK107" s="384">
        <v>0</v>
      </c>
      <c r="AL107" s="228" t="s">
        <v>377</v>
      </c>
      <c r="AM107" s="229" t="s">
        <v>331</v>
      </c>
      <c r="AN107" s="229" t="s">
        <v>276</v>
      </c>
      <c r="AO107" s="229" t="s">
        <v>277</v>
      </c>
      <c r="AP107" s="229" t="s">
        <v>378</v>
      </c>
    </row>
    <row r="108" spans="1:42" ht="12.75" customHeight="1" x14ac:dyDescent="0.15">
      <c r="A108" s="385"/>
      <c r="B108" s="222" t="s">
        <v>399</v>
      </c>
      <c r="C108" s="241" t="s">
        <v>63</v>
      </c>
      <c r="D108" s="380">
        <v>2155500</v>
      </c>
      <c r="E108" s="381">
        <v>3389867.9693999998</v>
      </c>
      <c r="F108" s="381">
        <v>1515828.6993040002</v>
      </c>
      <c r="G108" s="381">
        <v>1127858.401361</v>
      </c>
      <c r="H108" s="358">
        <f t="shared" si="70"/>
        <v>8.0558859249949054E-4</v>
      </c>
      <c r="I108" s="499">
        <v>214.58239609554161</v>
      </c>
      <c r="J108" s="381">
        <v>332.96166588</v>
      </c>
      <c r="K108" s="381">
        <v>167.242954</v>
      </c>
      <c r="L108" s="381">
        <v>414.20412314285699</v>
      </c>
      <c r="M108" s="358">
        <f t="shared" si="71"/>
        <v>1.4811543459458049E-3</v>
      </c>
      <c r="N108" s="382">
        <v>0</v>
      </c>
      <c r="O108" s="383">
        <v>0</v>
      </c>
      <c r="P108" s="383">
        <v>0</v>
      </c>
      <c r="Q108" s="383">
        <v>0</v>
      </c>
      <c r="R108" s="384">
        <v>0</v>
      </c>
      <c r="S108" s="362">
        <v>0.72006147698989798</v>
      </c>
      <c r="T108" s="363">
        <v>0.73363616068760995</v>
      </c>
      <c r="U108" s="362">
        <v>2.0283853742210498</v>
      </c>
      <c r="V108" s="363">
        <v>0.96395737721016195</v>
      </c>
      <c r="W108" s="359">
        <v>0.7154372669334117</v>
      </c>
      <c r="X108" s="383">
        <v>0</v>
      </c>
      <c r="Y108" s="360">
        <v>0.65000002384185818</v>
      </c>
      <c r="Z108" s="383">
        <v>0.7154372669334117</v>
      </c>
      <c r="AA108" s="383">
        <v>0</v>
      </c>
      <c r="AB108" s="360">
        <v>0.65000002384185818</v>
      </c>
      <c r="AC108" s="383">
        <v>0</v>
      </c>
      <c r="AD108" s="383">
        <v>0</v>
      </c>
      <c r="AE108" s="384">
        <v>0</v>
      </c>
      <c r="AF108" s="359">
        <v>8.9921913036616932</v>
      </c>
      <c r="AG108" s="383">
        <v>0</v>
      </c>
      <c r="AH108" s="360">
        <v>9.6920312278991059</v>
      </c>
      <c r="AI108" s="383">
        <v>0</v>
      </c>
      <c r="AJ108" s="383">
        <v>0</v>
      </c>
      <c r="AK108" s="384">
        <v>0</v>
      </c>
      <c r="AL108" s="228" t="s">
        <v>377</v>
      </c>
      <c r="AM108" s="229" t="s">
        <v>331</v>
      </c>
      <c r="AN108" s="229" t="s">
        <v>276</v>
      </c>
      <c r="AO108" s="229" t="s">
        <v>277</v>
      </c>
      <c r="AP108" s="229" t="s">
        <v>378</v>
      </c>
    </row>
    <row r="109" spans="1:42" ht="12.75" customHeight="1" x14ac:dyDescent="0.15">
      <c r="A109" s="385"/>
      <c r="B109" s="222" t="s">
        <v>400</v>
      </c>
      <c r="C109" s="241" t="s">
        <v>64</v>
      </c>
      <c r="D109" s="380">
        <v>927000</v>
      </c>
      <c r="E109" s="381">
        <v>102452.85</v>
      </c>
      <c r="F109" s="381">
        <v>0</v>
      </c>
      <c r="G109" s="381">
        <v>60373</v>
      </c>
      <c r="H109" s="358">
        <f t="shared" si="70"/>
        <v>4.312225722332019E-5</v>
      </c>
      <c r="I109" s="499">
        <v>166.87064347709611</v>
      </c>
      <c r="J109" s="381">
        <v>21.582000000000001</v>
      </c>
      <c r="K109" s="381">
        <v>0</v>
      </c>
      <c r="L109" s="381">
        <v>2.1320000000000001</v>
      </c>
      <c r="M109" s="358">
        <f t="shared" si="71"/>
        <v>7.62382817823216E-6</v>
      </c>
      <c r="N109" s="382">
        <v>0</v>
      </c>
      <c r="O109" s="383">
        <v>0</v>
      </c>
      <c r="P109" s="383">
        <v>0</v>
      </c>
      <c r="Q109" s="383">
        <v>0</v>
      </c>
      <c r="R109" s="384">
        <v>0</v>
      </c>
      <c r="S109" s="362">
        <v>0.49399311187900202</v>
      </c>
      <c r="T109" s="363">
        <v>0.20234781008261901</v>
      </c>
      <c r="U109" s="362">
        <v>0.49025264742684699</v>
      </c>
      <c r="V109" s="363">
        <v>0.22072279281082099</v>
      </c>
      <c r="W109" s="359">
        <v>0.74999998807907153</v>
      </c>
      <c r="X109" s="383">
        <v>0</v>
      </c>
      <c r="Y109" s="360">
        <v>0.65000001521190598</v>
      </c>
      <c r="Z109" s="383">
        <v>0.74999998807907153</v>
      </c>
      <c r="AA109" s="383">
        <v>0</v>
      </c>
      <c r="AB109" s="360">
        <v>0.65000001521190598</v>
      </c>
      <c r="AC109" s="383">
        <v>0</v>
      </c>
      <c r="AD109" s="383">
        <v>0</v>
      </c>
      <c r="AE109" s="384">
        <v>0</v>
      </c>
      <c r="AF109" s="359">
        <v>13.299999999999999</v>
      </c>
      <c r="AG109" s="383">
        <v>0</v>
      </c>
      <c r="AH109" s="360">
        <v>12.000000000000005</v>
      </c>
      <c r="AI109" s="383">
        <v>0</v>
      </c>
      <c r="AJ109" s="383">
        <v>0</v>
      </c>
      <c r="AK109" s="384">
        <v>0</v>
      </c>
      <c r="AL109" s="228" t="s">
        <v>377</v>
      </c>
      <c r="AM109" s="229" t="s">
        <v>331</v>
      </c>
      <c r="AN109" s="229" t="s">
        <v>276</v>
      </c>
      <c r="AO109" s="229" t="s">
        <v>277</v>
      </c>
      <c r="AP109" s="229" t="s">
        <v>378</v>
      </c>
    </row>
    <row r="110" spans="1:42" ht="12.75" customHeight="1" x14ac:dyDescent="0.15">
      <c r="A110" s="385"/>
      <c r="B110" s="222" t="s">
        <v>401</v>
      </c>
      <c r="C110" s="241" t="s">
        <v>65</v>
      </c>
      <c r="D110" s="380">
        <v>927511.03551999992</v>
      </c>
      <c r="E110" s="381">
        <v>444691.60325163999</v>
      </c>
      <c r="F110" s="381">
        <v>128634.88</v>
      </c>
      <c r="G110" s="381">
        <v>237719.84578599999</v>
      </c>
      <c r="H110" s="358">
        <f t="shared" si="70"/>
        <v>1.6979471513875241E-4</v>
      </c>
      <c r="I110" s="499">
        <v>126.99790797842776</v>
      </c>
      <c r="J110" s="381">
        <v>152.85549612069201</v>
      </c>
      <c r="K110" s="381">
        <v>26.151140000000002</v>
      </c>
      <c r="L110" s="381">
        <v>64.677098999999998</v>
      </c>
      <c r="M110" s="358">
        <f t="shared" si="71"/>
        <v>2.3127912281543667E-4</v>
      </c>
      <c r="N110" s="382">
        <v>0</v>
      </c>
      <c r="O110" s="383">
        <v>0</v>
      </c>
      <c r="P110" s="383">
        <v>0</v>
      </c>
      <c r="Q110" s="383">
        <v>0</v>
      </c>
      <c r="R110" s="384">
        <v>0</v>
      </c>
      <c r="S110" s="362">
        <v>0.96810048193718701</v>
      </c>
      <c r="T110" s="363">
        <v>0.75893581876025695</v>
      </c>
      <c r="U110" s="362">
        <v>0.94287510015103904</v>
      </c>
      <c r="V110" s="363">
        <v>0.77243000125494699</v>
      </c>
      <c r="W110" s="359">
        <v>0.65142361666207527</v>
      </c>
      <c r="X110" s="383">
        <v>0</v>
      </c>
      <c r="Y110" s="360">
        <v>0.6500000147031898</v>
      </c>
      <c r="Z110" s="383">
        <v>0.65142361666207527</v>
      </c>
      <c r="AA110" s="383">
        <v>0</v>
      </c>
      <c r="AB110" s="360">
        <v>0.6500000147031898</v>
      </c>
      <c r="AC110" s="383">
        <v>0</v>
      </c>
      <c r="AD110" s="383">
        <v>0</v>
      </c>
      <c r="AE110" s="384">
        <v>0</v>
      </c>
      <c r="AF110" s="359">
        <v>13.905165449902698</v>
      </c>
      <c r="AG110" s="383">
        <v>0</v>
      </c>
      <c r="AH110" s="360">
        <v>14.652561607180385</v>
      </c>
      <c r="AI110" s="383">
        <v>0</v>
      </c>
      <c r="AJ110" s="383">
        <v>0</v>
      </c>
      <c r="AK110" s="384">
        <v>0</v>
      </c>
      <c r="AL110" s="228" t="s">
        <v>377</v>
      </c>
      <c r="AM110" s="229" t="s">
        <v>331</v>
      </c>
      <c r="AN110" s="229" t="s">
        <v>276</v>
      </c>
      <c r="AO110" s="229" t="s">
        <v>277</v>
      </c>
      <c r="AP110" s="229" t="s">
        <v>378</v>
      </c>
    </row>
    <row r="111" spans="1:42" ht="12.75" customHeight="1" x14ac:dyDescent="0.15">
      <c r="A111" s="385"/>
      <c r="B111" s="251" t="s">
        <v>441</v>
      </c>
      <c r="C111" s="241" t="s">
        <v>442</v>
      </c>
      <c r="D111" s="380">
        <v>0</v>
      </c>
      <c r="E111" s="381">
        <v>0</v>
      </c>
      <c r="F111" s="381">
        <v>0</v>
      </c>
      <c r="G111" s="381">
        <v>4353238.95</v>
      </c>
      <c r="H111" s="358">
        <f t="shared" si="70"/>
        <v>3.1093616311343862E-3</v>
      </c>
      <c r="I111" s="499">
        <v>0</v>
      </c>
      <c r="J111" s="381">
        <v>0</v>
      </c>
      <c r="K111" s="381">
        <v>0</v>
      </c>
      <c r="L111" s="381">
        <v>595.39592500000003</v>
      </c>
      <c r="M111" s="358">
        <f t="shared" si="71"/>
        <v>2.1290789072324584E-3</v>
      </c>
      <c r="N111" s="382">
        <v>0</v>
      </c>
      <c r="O111" s="383">
        <v>0</v>
      </c>
      <c r="P111" s="383">
        <v>0</v>
      </c>
      <c r="Q111" s="383">
        <v>0</v>
      </c>
      <c r="R111" s="384">
        <v>0</v>
      </c>
      <c r="S111" s="362">
        <v>0</v>
      </c>
      <c r="T111" s="363">
        <v>1.89</v>
      </c>
      <c r="U111" s="362">
        <v>0</v>
      </c>
      <c r="V111" s="363">
        <v>2.5299999999999998</v>
      </c>
      <c r="W111" s="382">
        <v>0</v>
      </c>
      <c r="X111" s="383">
        <v>0</v>
      </c>
      <c r="Y111" s="383">
        <v>0</v>
      </c>
      <c r="Z111" s="383">
        <v>0</v>
      </c>
      <c r="AA111" s="383">
        <v>0</v>
      </c>
      <c r="AB111" s="360">
        <v>0</v>
      </c>
      <c r="AC111" s="383">
        <v>0</v>
      </c>
      <c r="AD111" s="383">
        <v>0</v>
      </c>
      <c r="AE111" s="384">
        <v>0</v>
      </c>
      <c r="AF111" s="382">
        <v>0</v>
      </c>
      <c r="AG111" s="383">
        <v>0</v>
      </c>
      <c r="AH111" s="383">
        <v>0</v>
      </c>
      <c r="AI111" s="383">
        <v>0</v>
      </c>
      <c r="AJ111" s="383">
        <v>0</v>
      </c>
      <c r="AK111" s="384">
        <v>0</v>
      </c>
      <c r="AL111" s="252" t="s">
        <v>373</v>
      </c>
      <c r="AM111" s="253" t="s">
        <v>331</v>
      </c>
      <c r="AN111" s="253" t="s">
        <v>276</v>
      </c>
      <c r="AO111" s="253" t="s">
        <v>294</v>
      </c>
      <c r="AP111" s="253" t="s">
        <v>440</v>
      </c>
    </row>
    <row r="112" spans="1:42" ht="12.75" customHeight="1" x14ac:dyDescent="0.15">
      <c r="A112" s="385"/>
      <c r="B112" s="236" t="s">
        <v>402</v>
      </c>
      <c r="C112" s="237" t="s">
        <v>403</v>
      </c>
      <c r="D112" s="348">
        <f>SUM(D113:D117)</f>
        <v>24136914.721061796</v>
      </c>
      <c r="E112" s="348">
        <f t="shared" ref="E112:G112" si="72">SUM(E113:E117)</f>
        <v>19604872.166742001</v>
      </c>
      <c r="F112" s="348">
        <f t="shared" si="72"/>
        <v>15147831.259289999</v>
      </c>
      <c r="G112" s="348">
        <f t="shared" si="72"/>
        <v>11236285.076159999</v>
      </c>
      <c r="H112" s="350">
        <f t="shared" si="70"/>
        <v>8.0256733190122304E-3</v>
      </c>
      <c r="I112" s="497">
        <f>SUM(I113:I117)</f>
        <v>3447.4970135690482</v>
      </c>
      <c r="J112" s="349">
        <f>SUM(J113:J117)</f>
        <v>2539.9198660000002</v>
      </c>
      <c r="K112" s="349">
        <f>SUM(K113:K117)</f>
        <v>1613.9392309999998</v>
      </c>
      <c r="L112" s="349">
        <f>SUM(L113:L117)</f>
        <v>1467.6394919274371</v>
      </c>
      <c r="M112" s="350">
        <f t="shared" si="71"/>
        <v>5.2481385150294204E-3</v>
      </c>
      <c r="N112" s="351">
        <v>0</v>
      </c>
      <c r="O112" s="352">
        <v>0</v>
      </c>
      <c r="P112" s="352">
        <v>0</v>
      </c>
      <c r="Q112" s="352">
        <v>0</v>
      </c>
      <c r="R112" s="353">
        <v>0</v>
      </c>
      <c r="S112" s="354">
        <f>AVERAGE(S113:S116)</f>
        <v>0.63988594069480342</v>
      </c>
      <c r="T112" s="355"/>
      <c r="U112" s="354"/>
      <c r="V112" s="355"/>
      <c r="W112" s="351"/>
      <c r="X112" s="352"/>
      <c r="Y112" s="352"/>
      <c r="Z112" s="352"/>
      <c r="AA112" s="352"/>
      <c r="AB112" s="352"/>
      <c r="AC112" s="352"/>
      <c r="AD112" s="352"/>
      <c r="AE112" s="353"/>
      <c r="AF112" s="351"/>
      <c r="AG112" s="352"/>
      <c r="AH112" s="352"/>
      <c r="AI112" s="352"/>
      <c r="AJ112" s="352"/>
      <c r="AK112" s="353"/>
      <c r="AL112" s="238" t="s">
        <v>377</v>
      </c>
      <c r="AM112" s="239" t="s">
        <v>331</v>
      </c>
      <c r="AN112" s="249">
        <v>0</v>
      </c>
      <c r="AO112" s="249">
        <v>0</v>
      </c>
      <c r="AP112" s="239" t="s">
        <v>378</v>
      </c>
    </row>
    <row r="113" spans="1:42" ht="12.75" customHeight="1" x14ac:dyDescent="0.15">
      <c r="A113" s="385"/>
      <c r="B113" s="222" t="s">
        <v>404</v>
      </c>
      <c r="C113" s="223" t="s">
        <v>61</v>
      </c>
      <c r="D113" s="380">
        <v>5850000</v>
      </c>
      <c r="E113" s="381">
        <v>7734645.0514000002</v>
      </c>
      <c r="F113" s="381">
        <v>6114633.3499999996</v>
      </c>
      <c r="G113" s="381">
        <v>3831333.3</v>
      </c>
      <c r="H113" s="358">
        <f t="shared" si="70"/>
        <v>2.736583242026604E-3</v>
      </c>
      <c r="I113" s="499">
        <v>1067.4042885306567</v>
      </c>
      <c r="J113" s="381">
        <v>1202.6665499999999</v>
      </c>
      <c r="K113" s="381">
        <v>807.95500000000004</v>
      </c>
      <c r="L113" s="381">
        <v>790.79053196291204</v>
      </c>
      <c r="M113" s="358">
        <f t="shared" si="71"/>
        <v>2.8277913417720673E-3</v>
      </c>
      <c r="N113" s="382">
        <v>0</v>
      </c>
      <c r="O113" s="383">
        <v>0</v>
      </c>
      <c r="P113" s="383">
        <v>0</v>
      </c>
      <c r="Q113" s="383">
        <v>0</v>
      </c>
      <c r="R113" s="384">
        <v>0</v>
      </c>
      <c r="S113" s="362">
        <v>0.51020344831128694</v>
      </c>
      <c r="T113" s="363">
        <v>0.95730300160986204</v>
      </c>
      <c r="U113" s="362">
        <v>2.0735984211435499</v>
      </c>
      <c r="V113" s="363">
        <v>1.2472363333173</v>
      </c>
      <c r="W113" s="359">
        <v>0.85256394232221433</v>
      </c>
      <c r="X113" s="383">
        <v>0</v>
      </c>
      <c r="Y113" s="360">
        <v>0.65110595123359272</v>
      </c>
      <c r="Z113" s="383">
        <v>0.85256394232221433</v>
      </c>
      <c r="AA113" s="383">
        <v>0</v>
      </c>
      <c r="AB113" s="360">
        <v>0.65110595123359272</v>
      </c>
      <c r="AC113" s="383">
        <v>0</v>
      </c>
      <c r="AD113" s="383">
        <v>0</v>
      </c>
      <c r="AE113" s="384">
        <v>0</v>
      </c>
      <c r="AF113" s="359">
        <v>11.771477862293084</v>
      </c>
      <c r="AG113" s="383">
        <v>0</v>
      </c>
      <c r="AH113" s="360">
        <v>11.785643848881628</v>
      </c>
      <c r="AI113" s="383">
        <v>0</v>
      </c>
      <c r="AJ113" s="383">
        <v>0</v>
      </c>
      <c r="AK113" s="384">
        <v>0</v>
      </c>
      <c r="AL113" s="228" t="s">
        <v>377</v>
      </c>
      <c r="AM113" s="229" t="s">
        <v>331</v>
      </c>
      <c r="AN113" s="229" t="s">
        <v>276</v>
      </c>
      <c r="AO113" s="229" t="s">
        <v>277</v>
      </c>
      <c r="AP113" s="229" t="s">
        <v>378</v>
      </c>
    </row>
    <row r="114" spans="1:42" ht="12.75" customHeight="1" x14ac:dyDescent="0.15">
      <c r="A114" s="385"/>
      <c r="B114" s="222" t="s">
        <v>405</v>
      </c>
      <c r="C114" s="223" t="s">
        <v>62</v>
      </c>
      <c r="D114" s="380">
        <v>1526005.6735</v>
      </c>
      <c r="E114" s="381">
        <v>1277253.8999999999</v>
      </c>
      <c r="F114" s="381">
        <v>2842862.4</v>
      </c>
      <c r="G114" s="381">
        <v>2409031.7999999998</v>
      </c>
      <c r="H114" s="358">
        <f t="shared" si="70"/>
        <v>1.7206845599648524E-3</v>
      </c>
      <c r="I114" s="499">
        <v>92.452627735161258</v>
      </c>
      <c r="J114" s="381">
        <v>154.57499999999999</v>
      </c>
      <c r="K114" s="381">
        <v>0</v>
      </c>
      <c r="L114" s="381">
        <v>34.873739999999998</v>
      </c>
      <c r="M114" s="358">
        <f t="shared" si="71"/>
        <v>1.2470516026845307E-4</v>
      </c>
      <c r="N114" s="382">
        <v>0</v>
      </c>
      <c r="O114" s="383">
        <v>0</v>
      </c>
      <c r="P114" s="383">
        <v>0</v>
      </c>
      <c r="Q114" s="383">
        <v>0</v>
      </c>
      <c r="R114" s="384">
        <v>0</v>
      </c>
      <c r="S114" s="362">
        <v>0.76938991932343703</v>
      </c>
      <c r="T114" s="363">
        <v>1.00028196433897</v>
      </c>
      <c r="U114" s="362">
        <v>1.86930298329964</v>
      </c>
      <c r="V114" s="363">
        <v>1.48936350460051</v>
      </c>
      <c r="W114" s="359">
        <v>0.69398695542027944</v>
      </c>
      <c r="X114" s="383">
        <v>0</v>
      </c>
      <c r="Y114" s="360">
        <v>0.65833908985600775</v>
      </c>
      <c r="Z114" s="383">
        <v>0.69398695542027944</v>
      </c>
      <c r="AA114" s="383">
        <v>0</v>
      </c>
      <c r="AB114" s="360">
        <v>0.65833908985600775</v>
      </c>
      <c r="AC114" s="383">
        <v>0</v>
      </c>
      <c r="AD114" s="383">
        <v>0</v>
      </c>
      <c r="AE114" s="384">
        <v>0</v>
      </c>
      <c r="AF114" s="359">
        <v>15.000000000000002</v>
      </c>
      <c r="AG114" s="383">
        <v>0</v>
      </c>
      <c r="AH114" s="360">
        <v>12.013944303456709</v>
      </c>
      <c r="AI114" s="383">
        <v>0</v>
      </c>
      <c r="AJ114" s="383">
        <v>0</v>
      </c>
      <c r="AK114" s="384">
        <v>0</v>
      </c>
      <c r="AL114" s="228" t="s">
        <v>377</v>
      </c>
      <c r="AM114" s="229" t="s">
        <v>331</v>
      </c>
      <c r="AN114" s="229" t="s">
        <v>276</v>
      </c>
      <c r="AO114" s="229" t="s">
        <v>277</v>
      </c>
      <c r="AP114" s="229" t="s">
        <v>378</v>
      </c>
    </row>
    <row r="115" spans="1:42" ht="12.75" customHeight="1" x14ac:dyDescent="0.15">
      <c r="A115" s="385"/>
      <c r="B115" s="222" t="s">
        <v>406</v>
      </c>
      <c r="C115" s="241" t="s">
        <v>66</v>
      </c>
      <c r="D115" s="380">
        <v>1900011.3470000001</v>
      </c>
      <c r="E115" s="381">
        <v>842242.5</v>
      </c>
      <c r="F115" s="381">
        <v>681107.75063999998</v>
      </c>
      <c r="G115" s="381">
        <v>970039.97615999996</v>
      </c>
      <c r="H115" s="358">
        <f t="shared" si="70"/>
        <v>6.9286458133395565E-4</v>
      </c>
      <c r="I115" s="499">
        <v>325.89549207958873</v>
      </c>
      <c r="J115" s="381">
        <v>62.613</v>
      </c>
      <c r="K115" s="381">
        <v>103.076331</v>
      </c>
      <c r="L115" s="381">
        <v>175.22158703939999</v>
      </c>
      <c r="M115" s="358">
        <f t="shared" si="71"/>
        <v>6.2657564385813162E-4</v>
      </c>
      <c r="N115" s="382">
        <v>0</v>
      </c>
      <c r="O115" s="383">
        <v>0</v>
      </c>
      <c r="P115" s="383">
        <v>0</v>
      </c>
      <c r="Q115" s="383">
        <v>0</v>
      </c>
      <c r="R115" s="384">
        <v>0</v>
      </c>
      <c r="S115" s="362">
        <v>0.62346613757580005</v>
      </c>
      <c r="T115" s="363">
        <v>0.71560418181846197</v>
      </c>
      <c r="U115" s="362">
        <v>1.06500701703623</v>
      </c>
      <c r="V115" s="363">
        <v>0.86415306241203405</v>
      </c>
      <c r="W115" s="359">
        <v>0.90000002273455804</v>
      </c>
      <c r="X115" s="383">
        <v>0</v>
      </c>
      <c r="Y115" s="360">
        <v>0.66982351496224446</v>
      </c>
      <c r="Z115" s="383">
        <v>0.90000002273455804</v>
      </c>
      <c r="AA115" s="383">
        <v>0</v>
      </c>
      <c r="AB115" s="360">
        <v>0.66982351496224446</v>
      </c>
      <c r="AC115" s="383">
        <v>0</v>
      </c>
      <c r="AD115" s="383">
        <v>0</v>
      </c>
      <c r="AE115" s="384">
        <v>0</v>
      </c>
      <c r="AF115" s="359">
        <v>11.9577307723132</v>
      </c>
      <c r="AG115" s="383">
        <v>0</v>
      </c>
      <c r="AH115" s="360">
        <v>6.7382605946234264</v>
      </c>
      <c r="AI115" s="383">
        <v>0</v>
      </c>
      <c r="AJ115" s="383">
        <v>0</v>
      </c>
      <c r="AK115" s="384">
        <v>0</v>
      </c>
      <c r="AL115" s="228" t="s">
        <v>377</v>
      </c>
      <c r="AM115" s="229" t="s">
        <v>331</v>
      </c>
      <c r="AN115" s="229" t="s">
        <v>276</v>
      </c>
      <c r="AO115" s="229" t="s">
        <v>277</v>
      </c>
      <c r="AP115" s="229" t="s">
        <v>378</v>
      </c>
    </row>
    <row r="116" spans="1:42" ht="12.75" customHeight="1" x14ac:dyDescent="0.15">
      <c r="A116" s="385"/>
      <c r="B116" s="222" t="s">
        <v>407</v>
      </c>
      <c r="C116" s="223" t="s">
        <v>408</v>
      </c>
      <c r="D116" s="380">
        <v>10254612.977493493</v>
      </c>
      <c r="E116" s="381">
        <v>9750730.7153420001</v>
      </c>
      <c r="F116" s="381">
        <v>5509227.7586500002</v>
      </c>
      <c r="G116" s="381">
        <v>4025880</v>
      </c>
      <c r="H116" s="358">
        <f t="shared" si="70"/>
        <v>2.8755409356868182E-3</v>
      </c>
      <c r="I116" s="499">
        <v>1346.5147712291973</v>
      </c>
      <c r="J116" s="381">
        <v>1120.0653159999999</v>
      </c>
      <c r="K116" s="381">
        <v>702.90789999999993</v>
      </c>
      <c r="L116" s="381">
        <v>466.75363292512498</v>
      </c>
      <c r="M116" s="358">
        <f t="shared" si="71"/>
        <v>1.6690663691307681E-3</v>
      </c>
      <c r="N116" s="382">
        <v>0</v>
      </c>
      <c r="O116" s="383">
        <v>0</v>
      </c>
      <c r="P116" s="383">
        <v>0</v>
      </c>
      <c r="Q116" s="383">
        <v>0</v>
      </c>
      <c r="R116" s="384">
        <v>0</v>
      </c>
      <c r="S116" s="362">
        <v>0.65648425756869</v>
      </c>
      <c r="T116" s="363">
        <v>1.02434553242574</v>
      </c>
      <c r="U116" s="362">
        <v>2.4604568612904498</v>
      </c>
      <c r="V116" s="363">
        <v>1.48621993165059</v>
      </c>
      <c r="W116" s="359">
        <v>0.8449869776056762</v>
      </c>
      <c r="X116" s="383">
        <v>0</v>
      </c>
      <c r="Y116" s="360">
        <v>0.64258473563186691</v>
      </c>
      <c r="Z116" s="383">
        <v>0.8449869776056762</v>
      </c>
      <c r="AA116" s="383">
        <v>0</v>
      </c>
      <c r="AB116" s="360">
        <v>0.64258473563186691</v>
      </c>
      <c r="AC116" s="383">
        <v>0</v>
      </c>
      <c r="AD116" s="383">
        <v>0</v>
      </c>
      <c r="AE116" s="384">
        <v>0</v>
      </c>
      <c r="AF116" s="359">
        <v>8.4841523297575172</v>
      </c>
      <c r="AG116" s="383">
        <v>0</v>
      </c>
      <c r="AH116" s="360">
        <v>12.614749962019751</v>
      </c>
      <c r="AI116" s="383">
        <v>0</v>
      </c>
      <c r="AJ116" s="383">
        <v>0</v>
      </c>
      <c r="AK116" s="384">
        <v>0</v>
      </c>
      <c r="AL116" s="228" t="s">
        <v>377</v>
      </c>
      <c r="AM116" s="229" t="s">
        <v>331</v>
      </c>
      <c r="AN116" s="229" t="s">
        <v>276</v>
      </c>
      <c r="AO116" s="229" t="s">
        <v>277</v>
      </c>
      <c r="AP116" s="229" t="s">
        <v>378</v>
      </c>
    </row>
    <row r="117" spans="1:42" ht="12.75" customHeight="1" x14ac:dyDescent="0.15">
      <c r="A117" s="385"/>
      <c r="B117" s="222" t="s">
        <v>409</v>
      </c>
      <c r="C117" s="223" t="s">
        <v>410</v>
      </c>
      <c r="D117" s="380">
        <v>4606284.7230683044</v>
      </c>
      <c r="E117" s="381">
        <v>0</v>
      </c>
      <c r="F117" s="381">
        <v>0</v>
      </c>
      <c r="G117" s="381">
        <v>0</v>
      </c>
      <c r="H117" s="358">
        <f t="shared" si="70"/>
        <v>0</v>
      </c>
      <c r="I117" s="499">
        <v>615.22983399444411</v>
      </c>
      <c r="J117" s="381">
        <v>0</v>
      </c>
      <c r="K117" s="381">
        <v>0</v>
      </c>
      <c r="L117" s="381">
        <v>0</v>
      </c>
      <c r="M117" s="358">
        <f t="shared" si="71"/>
        <v>0</v>
      </c>
      <c r="N117" s="382">
        <v>0</v>
      </c>
      <c r="O117" s="383">
        <v>0</v>
      </c>
      <c r="P117" s="383">
        <v>0</v>
      </c>
      <c r="Q117" s="383">
        <v>0</v>
      </c>
      <c r="R117" s="384">
        <v>0</v>
      </c>
      <c r="S117" s="362">
        <v>0</v>
      </c>
      <c r="T117" s="363">
        <v>0</v>
      </c>
      <c r="U117" s="362">
        <v>0</v>
      </c>
      <c r="V117" s="363">
        <v>0</v>
      </c>
      <c r="W117" s="382">
        <v>0</v>
      </c>
      <c r="X117" s="383">
        <v>0</v>
      </c>
      <c r="Y117" s="383">
        <v>0</v>
      </c>
      <c r="Z117" s="383">
        <v>0</v>
      </c>
      <c r="AA117" s="383">
        <v>0</v>
      </c>
      <c r="AB117" s="360">
        <v>0</v>
      </c>
      <c r="AC117" s="383">
        <v>0</v>
      </c>
      <c r="AD117" s="383">
        <v>0</v>
      </c>
      <c r="AE117" s="384">
        <v>0</v>
      </c>
      <c r="AF117" s="382">
        <v>0</v>
      </c>
      <c r="AG117" s="383">
        <v>0</v>
      </c>
      <c r="AH117" s="383">
        <v>0</v>
      </c>
      <c r="AI117" s="383">
        <v>0</v>
      </c>
      <c r="AJ117" s="383">
        <v>0</v>
      </c>
      <c r="AK117" s="384">
        <v>0</v>
      </c>
      <c r="AL117" s="228" t="s">
        <v>377</v>
      </c>
      <c r="AM117" s="229" t="s">
        <v>331</v>
      </c>
      <c r="AN117" s="229" t="s">
        <v>276</v>
      </c>
      <c r="AO117" s="229" t="s">
        <v>288</v>
      </c>
      <c r="AP117" s="229" t="s">
        <v>378</v>
      </c>
    </row>
    <row r="118" spans="1:42" ht="12.75" customHeight="1" x14ac:dyDescent="0.15">
      <c r="A118" s="385"/>
      <c r="B118" s="251"/>
      <c r="C118" s="241"/>
      <c r="D118" s="380"/>
      <c r="E118" s="381"/>
      <c r="F118" s="381"/>
      <c r="G118" s="381"/>
      <c r="H118" s="358"/>
      <c r="I118" s="499"/>
      <c r="J118" s="381"/>
      <c r="K118" s="381"/>
      <c r="L118" s="381"/>
      <c r="M118" s="358"/>
      <c r="N118" s="382"/>
      <c r="O118" s="383"/>
      <c r="P118" s="383"/>
      <c r="Q118" s="383"/>
      <c r="R118" s="384"/>
      <c r="S118" s="386"/>
      <c r="T118" s="387"/>
      <c r="U118" s="388"/>
      <c r="V118" s="389"/>
      <c r="W118" s="388"/>
      <c r="X118" s="390"/>
      <c r="Y118" s="390"/>
      <c r="Z118" s="390"/>
      <c r="AA118" s="390"/>
      <c r="AB118" s="390"/>
      <c r="AC118" s="390"/>
      <c r="AD118" s="390"/>
      <c r="AE118" s="389"/>
      <c r="AF118" s="388"/>
      <c r="AG118" s="390"/>
      <c r="AH118" s="390"/>
      <c r="AI118" s="390"/>
      <c r="AJ118" s="390"/>
      <c r="AK118" s="389"/>
      <c r="AL118" s="252"/>
      <c r="AM118" s="253"/>
      <c r="AN118" s="253"/>
      <c r="AO118" s="253"/>
      <c r="AP118" s="253"/>
    </row>
    <row r="119" spans="1:42" ht="12.75" customHeight="1" x14ac:dyDescent="0.15">
      <c r="A119" s="385"/>
      <c r="B119" s="255"/>
      <c r="C119" s="256"/>
      <c r="D119" s="380"/>
      <c r="E119" s="381"/>
      <c r="F119" s="381"/>
      <c r="G119" s="381"/>
      <c r="H119" s="391"/>
      <c r="I119" s="499"/>
      <c r="J119" s="381"/>
      <c r="K119" s="381"/>
      <c r="L119" s="381"/>
      <c r="M119" s="391"/>
      <c r="N119" s="382"/>
      <c r="O119" s="383"/>
      <c r="P119" s="383"/>
      <c r="Q119" s="383"/>
      <c r="R119" s="384"/>
      <c r="S119" s="386"/>
      <c r="T119" s="387"/>
      <c r="U119" s="382"/>
      <c r="V119" s="384"/>
      <c r="W119" s="388"/>
      <c r="X119" s="390"/>
      <c r="Y119" s="390"/>
      <c r="Z119" s="390"/>
      <c r="AA119" s="390"/>
      <c r="AB119" s="390"/>
      <c r="AC119" s="390"/>
      <c r="AD119" s="390"/>
      <c r="AE119" s="389"/>
      <c r="AF119" s="388"/>
      <c r="AG119" s="390"/>
      <c r="AH119" s="390"/>
      <c r="AI119" s="390"/>
      <c r="AJ119" s="390"/>
      <c r="AK119" s="389"/>
      <c r="AL119" s="252"/>
      <c r="AM119" s="253"/>
      <c r="AN119" s="257"/>
      <c r="AO119" s="257"/>
      <c r="AP119" s="253"/>
    </row>
    <row r="120" spans="1:42" ht="12.75" customHeight="1" x14ac:dyDescent="0.15">
      <c r="A120" s="385"/>
      <c r="B120" s="251"/>
      <c r="C120" s="237" t="s">
        <v>483</v>
      </c>
      <c r="D120" s="348">
        <v>0</v>
      </c>
      <c r="E120" s="348">
        <v>0</v>
      </c>
      <c r="F120" s="348">
        <v>0</v>
      </c>
      <c r="G120" s="348">
        <v>0</v>
      </c>
      <c r="H120" s="350">
        <f>+G120/$G$123</f>
        <v>0</v>
      </c>
      <c r="I120" s="497">
        <v>0</v>
      </c>
      <c r="J120" s="349">
        <v>0</v>
      </c>
      <c r="K120" s="349">
        <v>0</v>
      </c>
      <c r="L120" s="349">
        <v>0</v>
      </c>
      <c r="M120" s="350">
        <f>+L120/$L$123</f>
        <v>0</v>
      </c>
      <c r="N120" s="351">
        <v>0</v>
      </c>
      <c r="O120" s="352">
        <v>0</v>
      </c>
      <c r="P120" s="352">
        <v>0</v>
      </c>
      <c r="Q120" s="352">
        <v>0</v>
      </c>
      <c r="R120" s="353">
        <v>0</v>
      </c>
      <c r="S120" s="354"/>
      <c r="T120" s="355">
        <v>0</v>
      </c>
      <c r="U120" s="351">
        <v>0</v>
      </c>
      <c r="V120" s="353">
        <v>0</v>
      </c>
      <c r="W120" s="351">
        <v>0</v>
      </c>
      <c r="X120" s="352">
        <v>0</v>
      </c>
      <c r="Y120" s="352">
        <v>0</v>
      </c>
      <c r="Z120" s="352">
        <v>0</v>
      </c>
      <c r="AA120" s="352">
        <v>0</v>
      </c>
      <c r="AB120" s="352">
        <v>0</v>
      </c>
      <c r="AC120" s="352">
        <v>0</v>
      </c>
      <c r="AD120" s="352">
        <v>0</v>
      </c>
      <c r="AE120" s="353">
        <v>0</v>
      </c>
      <c r="AF120" s="351">
        <v>0</v>
      </c>
      <c r="AG120" s="352">
        <v>0</v>
      </c>
      <c r="AH120" s="352">
        <v>0</v>
      </c>
      <c r="AI120" s="352">
        <v>0</v>
      </c>
      <c r="AJ120" s="352">
        <v>0</v>
      </c>
      <c r="AK120" s="353">
        <v>0</v>
      </c>
      <c r="AL120" s="265" t="s">
        <v>225</v>
      </c>
      <c r="AM120" s="244"/>
      <c r="AN120" s="266" t="s">
        <v>225</v>
      </c>
      <c r="AO120" s="266" t="s">
        <v>277</v>
      </c>
      <c r="AP120" s="244" t="s">
        <v>225</v>
      </c>
    </row>
    <row r="121" spans="1:42" ht="12.75" customHeight="1" x14ac:dyDescent="0.15">
      <c r="A121" s="385"/>
      <c r="B121" s="251" t="s">
        <v>445</v>
      </c>
      <c r="C121" s="241" t="s">
        <v>446</v>
      </c>
      <c r="D121" s="380">
        <v>0</v>
      </c>
      <c r="E121" s="381">
        <v>0</v>
      </c>
      <c r="F121" s="381">
        <v>0</v>
      </c>
      <c r="G121" s="381">
        <v>0</v>
      </c>
      <c r="H121" s="391">
        <v>0</v>
      </c>
      <c r="I121" s="499">
        <v>0</v>
      </c>
      <c r="J121" s="381">
        <v>0</v>
      </c>
      <c r="K121" s="381">
        <v>0</v>
      </c>
      <c r="L121" s="381">
        <v>0</v>
      </c>
      <c r="M121" s="391">
        <v>0</v>
      </c>
      <c r="N121" s="382">
        <v>0</v>
      </c>
      <c r="O121" s="383">
        <v>0</v>
      </c>
      <c r="P121" s="383">
        <v>0</v>
      </c>
      <c r="Q121" s="383">
        <v>0</v>
      </c>
      <c r="R121" s="384">
        <v>0</v>
      </c>
      <c r="S121" s="386">
        <v>0</v>
      </c>
      <c r="T121" s="387">
        <v>0</v>
      </c>
      <c r="U121" s="382">
        <v>0</v>
      </c>
      <c r="V121" s="384">
        <v>0</v>
      </c>
      <c r="W121" s="382">
        <v>0</v>
      </c>
      <c r="X121" s="383">
        <v>0</v>
      </c>
      <c r="Y121" s="383">
        <v>0</v>
      </c>
      <c r="Z121" s="383">
        <v>0</v>
      </c>
      <c r="AA121" s="383">
        <v>0</v>
      </c>
      <c r="AB121" s="383">
        <v>0</v>
      </c>
      <c r="AC121" s="383">
        <v>0</v>
      </c>
      <c r="AD121" s="383">
        <v>0</v>
      </c>
      <c r="AE121" s="384">
        <v>0</v>
      </c>
      <c r="AF121" s="382">
        <v>0</v>
      </c>
      <c r="AG121" s="383">
        <v>0</v>
      </c>
      <c r="AH121" s="383">
        <v>0</v>
      </c>
      <c r="AI121" s="383">
        <v>0</v>
      </c>
      <c r="AJ121" s="383">
        <v>0</v>
      </c>
      <c r="AK121" s="384">
        <v>0</v>
      </c>
      <c r="AL121" s="252" t="s">
        <v>373</v>
      </c>
      <c r="AM121" s="253" t="s">
        <v>331</v>
      </c>
      <c r="AN121" s="253" t="s">
        <v>276</v>
      </c>
      <c r="AO121" s="253" t="s">
        <v>277</v>
      </c>
      <c r="AP121" s="253" t="s">
        <v>440</v>
      </c>
    </row>
    <row r="122" spans="1:42" ht="12.75" customHeight="1" x14ac:dyDescent="0.15">
      <c r="A122" s="385"/>
      <c r="B122" s="251" t="s">
        <v>447</v>
      </c>
      <c r="C122" s="241" t="s">
        <v>448</v>
      </c>
      <c r="D122" s="380">
        <v>0</v>
      </c>
      <c r="E122" s="381">
        <v>0</v>
      </c>
      <c r="F122" s="381">
        <v>0</v>
      </c>
      <c r="G122" s="381">
        <v>0</v>
      </c>
      <c r="H122" s="391">
        <v>0</v>
      </c>
      <c r="I122" s="499">
        <v>0</v>
      </c>
      <c r="J122" s="381">
        <v>0</v>
      </c>
      <c r="K122" s="381">
        <v>0</v>
      </c>
      <c r="L122" s="381">
        <v>0</v>
      </c>
      <c r="M122" s="391">
        <v>0</v>
      </c>
      <c r="N122" s="382">
        <v>0</v>
      </c>
      <c r="O122" s="383">
        <v>0</v>
      </c>
      <c r="P122" s="383">
        <v>0</v>
      </c>
      <c r="Q122" s="383">
        <v>0</v>
      </c>
      <c r="R122" s="384">
        <v>0</v>
      </c>
      <c r="S122" s="386">
        <v>0</v>
      </c>
      <c r="T122" s="387">
        <v>0</v>
      </c>
      <c r="U122" s="382">
        <v>0</v>
      </c>
      <c r="V122" s="384">
        <v>0</v>
      </c>
      <c r="W122" s="382">
        <v>0</v>
      </c>
      <c r="X122" s="383">
        <v>0</v>
      </c>
      <c r="Y122" s="383">
        <v>0</v>
      </c>
      <c r="Z122" s="383">
        <v>0</v>
      </c>
      <c r="AA122" s="383">
        <v>0</v>
      </c>
      <c r="AB122" s="383">
        <v>0</v>
      </c>
      <c r="AC122" s="383">
        <v>0</v>
      </c>
      <c r="AD122" s="383">
        <v>0</v>
      </c>
      <c r="AE122" s="384">
        <v>0</v>
      </c>
      <c r="AF122" s="382">
        <v>0</v>
      </c>
      <c r="AG122" s="383">
        <v>0</v>
      </c>
      <c r="AH122" s="383">
        <v>0</v>
      </c>
      <c r="AI122" s="383">
        <v>0</v>
      </c>
      <c r="AJ122" s="383">
        <v>0</v>
      </c>
      <c r="AK122" s="384">
        <v>0</v>
      </c>
      <c r="AL122" s="252" t="s">
        <v>373</v>
      </c>
      <c r="AM122" s="253" t="s">
        <v>331</v>
      </c>
      <c r="AN122" s="253" t="s">
        <v>276</v>
      </c>
      <c r="AO122" s="253" t="s">
        <v>294</v>
      </c>
      <c r="AP122" s="253" t="s">
        <v>440</v>
      </c>
    </row>
    <row r="123" spans="1:42" ht="12.75" customHeight="1" x14ac:dyDescent="0.15">
      <c r="A123" s="385"/>
      <c r="B123" s="258"/>
      <c r="C123" s="259" t="s">
        <v>484</v>
      </c>
      <c r="D123" s="392">
        <f t="shared" ref="D123:M123" si="73">SUM(D112+D83+D79+D75+D69+D64+D59+D50+D45+D34+D23+D21+D19+D15+D7)</f>
        <v>1041911127.0499276</v>
      </c>
      <c r="E123" s="392">
        <f t="shared" si="73"/>
        <v>1526630553.1366949</v>
      </c>
      <c r="F123" s="392">
        <f t="shared" si="73"/>
        <v>1317635972.1224942</v>
      </c>
      <c r="G123" s="392">
        <f t="shared" si="73"/>
        <v>1400042666.7681658</v>
      </c>
      <c r="H123" s="492">
        <f t="shared" si="73"/>
        <v>0.99999999999999978</v>
      </c>
      <c r="I123" s="503">
        <f t="shared" si="73"/>
        <v>183563.79064187885</v>
      </c>
      <c r="J123" s="392">
        <f t="shared" si="73"/>
        <v>307118.11209636624</v>
      </c>
      <c r="K123" s="392">
        <f t="shared" si="73"/>
        <v>269339.23830299085</v>
      </c>
      <c r="L123" s="392">
        <f t="shared" si="73"/>
        <v>279649.53434907761</v>
      </c>
      <c r="M123" s="492">
        <f t="shared" si="73"/>
        <v>1</v>
      </c>
      <c r="N123" s="392">
        <f t="shared" ref="N123:R123" si="74">SUM(N112+N83+N79+N75+N69+N64+N59+N50+N45+N34+N23+N21+N19+N15+N7)</f>
        <v>0</v>
      </c>
      <c r="O123" s="392">
        <f t="shared" si="74"/>
        <v>0</v>
      </c>
      <c r="P123" s="392">
        <f t="shared" si="74"/>
        <v>0</v>
      </c>
      <c r="Q123" s="392">
        <f t="shared" si="74"/>
        <v>0</v>
      </c>
      <c r="R123" s="392">
        <f t="shared" si="74"/>
        <v>0</v>
      </c>
      <c r="S123" s="396">
        <v>1.36</v>
      </c>
      <c r="T123" s="397">
        <v>1.74</v>
      </c>
      <c r="U123" s="393">
        <v>2.2545868043128423</v>
      </c>
      <c r="V123" s="395">
        <v>4.13</v>
      </c>
      <c r="W123" s="393">
        <v>0.68281709537000035</v>
      </c>
      <c r="X123" s="394">
        <v>0</v>
      </c>
      <c r="Y123" s="394">
        <v>0.70264728006979227</v>
      </c>
      <c r="Z123" s="394">
        <v>0.68281709537000035</v>
      </c>
      <c r="AA123" s="394">
        <v>0</v>
      </c>
      <c r="AB123" s="394">
        <v>0.70264728006979227</v>
      </c>
      <c r="AC123" s="394">
        <v>0</v>
      </c>
      <c r="AD123" s="394">
        <v>0</v>
      </c>
      <c r="AE123" s="395">
        <v>0</v>
      </c>
      <c r="AF123" s="393">
        <v>11.171286726650223</v>
      </c>
      <c r="AG123" s="394">
        <v>0</v>
      </c>
      <c r="AH123" s="394">
        <v>8.0535640027471267</v>
      </c>
      <c r="AI123" s="394">
        <v>0</v>
      </c>
      <c r="AJ123" s="394">
        <v>0</v>
      </c>
      <c r="AK123" s="395">
        <v>0</v>
      </c>
      <c r="AL123" s="262"/>
      <c r="AM123" s="259"/>
      <c r="AN123" s="263"/>
      <c r="AO123" s="263"/>
      <c r="AP123" s="259"/>
    </row>
    <row r="124" spans="1:42" ht="12.75" customHeight="1" x14ac:dyDescent="0.2">
      <c r="A124" s="385"/>
      <c r="B124" s="275"/>
      <c r="C124" s="276"/>
      <c r="D124" s="398"/>
      <c r="E124" s="399"/>
      <c r="F124" s="399"/>
      <c r="G124" s="399"/>
      <c r="H124" s="400"/>
      <c r="I124" s="504"/>
      <c r="J124" s="399"/>
      <c r="K124" s="399"/>
      <c r="L124" s="399"/>
      <c r="M124" s="400"/>
      <c r="N124" s="401"/>
      <c r="O124" s="402"/>
      <c r="P124" s="402"/>
      <c r="Q124" s="402"/>
      <c r="R124" s="403"/>
      <c r="S124" s="404"/>
      <c r="T124" s="405"/>
      <c r="U124" s="401"/>
      <c r="V124" s="403"/>
      <c r="W124" s="401"/>
      <c r="X124" s="402"/>
      <c r="Y124" s="402"/>
      <c r="Z124" s="402"/>
      <c r="AA124" s="402"/>
      <c r="AB124" s="402"/>
      <c r="AC124" s="402"/>
      <c r="AD124" s="402"/>
      <c r="AE124" s="403"/>
      <c r="AF124" s="401"/>
      <c r="AG124" s="402"/>
      <c r="AH124" s="402"/>
      <c r="AI124" s="402"/>
      <c r="AJ124" s="402"/>
      <c r="AK124" s="403"/>
      <c r="AL124" s="228"/>
      <c r="AM124" s="229"/>
      <c r="AN124" s="257"/>
      <c r="AO124" s="257"/>
      <c r="AP124" s="229"/>
    </row>
    <row r="125" spans="1:42" ht="12.75" customHeight="1" x14ac:dyDescent="0.15">
      <c r="A125" s="385"/>
      <c r="B125" s="251" t="s">
        <v>450</v>
      </c>
      <c r="C125" s="237" t="s">
        <v>195</v>
      </c>
      <c r="D125" s="348">
        <v>24298365.498260878</v>
      </c>
      <c r="E125" s="349">
        <v>1673208</v>
      </c>
      <c r="F125" s="349">
        <v>2139476.75</v>
      </c>
      <c r="G125" s="349">
        <v>9557264.2521855701</v>
      </c>
      <c r="H125" s="350"/>
      <c r="I125" s="497">
        <v>3680.2698986890746</v>
      </c>
      <c r="J125" s="349">
        <v>1044</v>
      </c>
      <c r="K125" s="349">
        <v>1258.19</v>
      </c>
      <c r="L125" s="349">
        <v>9518.0259800000022</v>
      </c>
      <c r="M125" s="350"/>
      <c r="N125" s="351">
        <v>0</v>
      </c>
      <c r="O125" s="352">
        <v>0</v>
      </c>
      <c r="P125" s="352">
        <v>0</v>
      </c>
      <c r="Q125" s="352">
        <v>0</v>
      </c>
      <c r="R125" s="353">
        <v>0</v>
      </c>
      <c r="S125" s="354">
        <v>0</v>
      </c>
      <c r="T125" s="355">
        <v>0</v>
      </c>
      <c r="U125" s="351">
        <v>0</v>
      </c>
      <c r="V125" s="353">
        <v>0</v>
      </c>
      <c r="W125" s="351">
        <v>0</v>
      </c>
      <c r="X125" s="352">
        <v>0</v>
      </c>
      <c r="Y125" s="352">
        <v>0</v>
      </c>
      <c r="Z125" s="352">
        <v>0</v>
      </c>
      <c r="AA125" s="352">
        <v>0</v>
      </c>
      <c r="AB125" s="352">
        <v>0</v>
      </c>
      <c r="AC125" s="352">
        <v>0</v>
      </c>
      <c r="AD125" s="352">
        <v>0</v>
      </c>
      <c r="AE125" s="353">
        <v>0</v>
      </c>
      <c r="AF125" s="351">
        <v>0</v>
      </c>
      <c r="AG125" s="352">
        <v>0</v>
      </c>
      <c r="AH125" s="352">
        <v>0</v>
      </c>
      <c r="AI125" s="352">
        <v>0</v>
      </c>
      <c r="AJ125" s="352">
        <v>0</v>
      </c>
      <c r="AK125" s="353">
        <v>0</v>
      </c>
      <c r="AL125" s="265" t="s">
        <v>451</v>
      </c>
      <c r="AM125" s="244" t="s">
        <v>331</v>
      </c>
      <c r="AN125" s="239" t="s">
        <v>226</v>
      </c>
      <c r="AO125" s="239" t="s">
        <v>277</v>
      </c>
      <c r="AP125" s="244" t="s">
        <v>451</v>
      </c>
    </row>
    <row r="126" spans="1:42" ht="12.75" customHeight="1" x14ac:dyDescent="0.2">
      <c r="A126" s="385"/>
      <c r="B126" s="248"/>
      <c r="C126" s="282"/>
      <c r="D126" s="398"/>
      <c r="E126" s="399"/>
      <c r="F126" s="399"/>
      <c r="G126" s="399"/>
      <c r="H126" s="400"/>
      <c r="I126" s="504"/>
      <c r="J126" s="399"/>
      <c r="K126" s="399"/>
      <c r="L126" s="399"/>
      <c r="M126" s="400"/>
      <c r="N126" s="401"/>
      <c r="O126" s="402"/>
      <c r="P126" s="402"/>
      <c r="Q126" s="402"/>
      <c r="R126" s="403"/>
      <c r="S126" s="404"/>
      <c r="T126" s="405"/>
      <c r="U126" s="401"/>
      <c r="V126" s="403"/>
      <c r="W126" s="401"/>
      <c r="X126" s="402"/>
      <c r="Y126" s="402"/>
      <c r="Z126" s="402"/>
      <c r="AA126" s="402"/>
      <c r="AB126" s="402"/>
      <c r="AC126" s="402"/>
      <c r="AD126" s="402"/>
      <c r="AE126" s="403"/>
      <c r="AF126" s="401"/>
      <c r="AG126" s="402"/>
      <c r="AH126" s="402"/>
      <c r="AI126" s="402"/>
      <c r="AJ126" s="402"/>
      <c r="AK126" s="403"/>
      <c r="AL126" s="283"/>
      <c r="AM126" s="284"/>
      <c r="AN126" s="284"/>
      <c r="AO126" s="284"/>
      <c r="AP126" s="284"/>
    </row>
    <row r="127" spans="1:42" ht="12.75" customHeight="1" thickBot="1" x14ac:dyDescent="0.2">
      <c r="A127" s="385"/>
      <c r="B127" s="286"/>
      <c r="C127" s="287" t="s">
        <v>452</v>
      </c>
      <c r="D127" s="406">
        <f>+D125+D123</f>
        <v>1066209492.5481884</v>
      </c>
      <c r="E127" s="406">
        <f t="shared" ref="E127:G127" si="75">+E125+E123</f>
        <v>1528303761.1366949</v>
      </c>
      <c r="F127" s="406">
        <f t="shared" si="75"/>
        <v>1319775448.8724942</v>
      </c>
      <c r="G127" s="406">
        <f t="shared" si="75"/>
        <v>1409599931.0203514</v>
      </c>
      <c r="H127" s="407"/>
      <c r="I127" s="505">
        <f>+I125+I123</f>
        <v>187244.06054056791</v>
      </c>
      <c r="J127" s="406">
        <f t="shared" ref="J127:L127" si="76">+J125+J123</f>
        <v>308162.11209636624</v>
      </c>
      <c r="K127" s="406">
        <f t="shared" si="76"/>
        <v>270597.42830299085</v>
      </c>
      <c r="L127" s="406">
        <f t="shared" si="76"/>
        <v>289167.56032907759</v>
      </c>
      <c r="M127" s="407"/>
      <c r="N127" s="408">
        <v>0</v>
      </c>
      <c r="O127" s="409">
        <v>0</v>
      </c>
      <c r="P127" s="409">
        <v>0</v>
      </c>
      <c r="Q127" s="409">
        <v>0</v>
      </c>
      <c r="R127" s="410">
        <v>0</v>
      </c>
      <c r="S127" s="411">
        <v>0</v>
      </c>
      <c r="T127" s="412">
        <v>0</v>
      </c>
      <c r="U127" s="411">
        <v>0</v>
      </c>
      <c r="V127" s="412">
        <v>0</v>
      </c>
      <c r="W127" s="411">
        <v>0</v>
      </c>
      <c r="X127" s="413">
        <v>0</v>
      </c>
      <c r="Y127" s="413">
        <v>0</v>
      </c>
      <c r="Z127" s="413">
        <v>0</v>
      </c>
      <c r="AA127" s="413">
        <v>0</v>
      </c>
      <c r="AB127" s="413">
        <v>0</v>
      </c>
      <c r="AC127" s="409">
        <v>0</v>
      </c>
      <c r="AD127" s="409">
        <v>0</v>
      </c>
      <c r="AE127" s="410">
        <v>0</v>
      </c>
      <c r="AF127" s="408">
        <v>0</v>
      </c>
      <c r="AG127" s="409">
        <v>0</v>
      </c>
      <c r="AH127" s="409">
        <v>0</v>
      </c>
      <c r="AI127" s="409">
        <v>0</v>
      </c>
      <c r="AJ127" s="409">
        <v>0</v>
      </c>
      <c r="AK127" s="410">
        <v>0</v>
      </c>
      <c r="AL127" s="262"/>
      <c r="AM127" s="259"/>
      <c r="AN127" s="259"/>
      <c r="AO127" s="259"/>
      <c r="AP127" s="259"/>
    </row>
    <row r="128" spans="1:42" x14ac:dyDescent="0.15">
      <c r="B128" s="414"/>
      <c r="C128" s="415"/>
      <c r="D128" s="416"/>
      <c r="E128" s="416"/>
      <c r="F128" s="417"/>
      <c r="G128" s="417"/>
      <c r="H128" s="418"/>
      <c r="I128" s="506"/>
      <c r="J128" s="417"/>
      <c r="K128" s="417"/>
      <c r="L128" s="417"/>
      <c r="M128" s="418"/>
      <c r="N128" s="417"/>
      <c r="O128" s="417"/>
      <c r="P128" s="417"/>
      <c r="Q128" s="417"/>
      <c r="R128" s="418"/>
      <c r="S128" s="419"/>
      <c r="T128" s="419"/>
      <c r="U128" s="419"/>
      <c r="V128" s="419"/>
      <c r="W128" s="416"/>
      <c r="X128" s="417"/>
      <c r="Y128" s="417"/>
      <c r="Z128" s="417"/>
      <c r="AA128" s="417"/>
      <c r="AB128" s="417"/>
      <c r="AC128" s="417"/>
      <c r="AD128" s="417"/>
      <c r="AE128" s="417"/>
      <c r="AF128" s="417"/>
      <c r="AG128" s="417"/>
      <c r="AH128" s="417"/>
      <c r="AI128" s="417"/>
      <c r="AJ128" s="417"/>
      <c r="AK128" s="417"/>
    </row>
    <row r="129" spans="2:2" x14ac:dyDescent="0.15">
      <c r="B129" s="323" t="s">
        <v>485</v>
      </c>
    </row>
  </sheetData>
  <mergeCells count="15">
    <mergeCell ref="AL5:AP5"/>
    <mergeCell ref="D4:L4"/>
    <mergeCell ref="W4:AE4"/>
    <mergeCell ref="AF4:AK4"/>
    <mergeCell ref="B5:C5"/>
    <mergeCell ref="D5:H5"/>
    <mergeCell ref="I5:M5"/>
    <mergeCell ref="N5:R5"/>
    <mergeCell ref="S5:T5"/>
    <mergeCell ref="U5:V5"/>
    <mergeCell ref="W5:Y5"/>
    <mergeCell ref="Z5:AB5"/>
    <mergeCell ref="AC5:AE5"/>
    <mergeCell ref="AF5:AH5"/>
    <mergeCell ref="AI5:AK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ate xmlns="ec52a836-0bb4-4d79-aa0d-20b4805e15e2" xsi:nil="true"/>
    <TaxCatchAll xmlns="e45da448-bf9c-43e8-8676-7e88d583ded9"/>
    <Legal_x0020_Group1 xmlns="ec52a836-0bb4-4d79-aa0d-20b4805e15e2">Customer and Tariff</Legal_x0020_Group1>
    <TaxKeywordTaxHTField xmlns="ec52a836-0bb4-4d79-aa0d-20b4805e15e2">
      <Terms xmlns="http://schemas.microsoft.com/office/infopath/2007/PartnerControls"/>
    </TaxKeywordTaxHTField>
    <_dlc_DocId xmlns="ec52a836-0bb4-4d79-aa0d-20b4805e15e2">LIMSO365-1779931240-1268</_dlc_DocId>
    <_dlc_DocIdUrl xmlns="ec52a836-0bb4-4d79-aa0d-20b4805e15e2">
      <Url>https://edisonintl.sharepoint.com/teams/LIMS O365/CTWS/_layouts/15/DocIdRedir.aspx?ID=LIMSO365-1779931240-1268</Url>
      <Description>LIMSO365-1779931240-1268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Legal Document" ma:contentTypeID="0x01010059CF184591B1604A8B5108A47612E8120079F4DEF02488604A908630558A2EAE2A" ma:contentTypeVersion="13" ma:contentTypeDescription="" ma:contentTypeScope="" ma:versionID="83223bd3000ce7a9701990ece4aa03b7">
  <xsd:schema xmlns:xsd="http://www.w3.org/2001/XMLSchema" xmlns:xs="http://www.w3.org/2001/XMLSchema" xmlns:p="http://schemas.microsoft.com/office/2006/metadata/properties" xmlns:ns3="ec52a836-0bb4-4d79-aa0d-20b4805e15e2" xmlns:ns4="e45da448-bf9c-43e8-8676-7e88d583ded9" xmlns:ns5="43ebc385-919f-4264-8390-972eb2033e46" targetNamespace="http://schemas.microsoft.com/office/2006/metadata/properties" ma:root="true" ma:fieldsID="1bbc2c0f9d5da44bf070fee28fc0ece8" ns3:_="" ns4:_="" ns5:_="">
    <xsd:import namespace="ec52a836-0bb4-4d79-aa0d-20b4805e15e2"/>
    <xsd:import namespace="e45da448-bf9c-43e8-8676-7e88d583ded9"/>
    <xsd:import namespace="43ebc385-919f-4264-8390-972eb2033e46"/>
    <xsd:element name="properties">
      <xsd:complexType>
        <xsd:sequence>
          <xsd:element name="documentManagement">
            <xsd:complexType>
              <xsd:all>
                <xsd:element ref="ns3:Document_x0020_Date" minOccurs="0"/>
                <xsd:element ref="ns3:SharedWithUsers" minOccurs="0"/>
                <xsd:element ref="ns3:SharedWithDetails" minOccurs="0"/>
                <xsd:element ref="ns3:Legal_x0020_Group1" minOccurs="0"/>
                <xsd:element ref="ns4:TaxCatchAll" minOccurs="0"/>
                <xsd:element ref="ns4:TaxCatchAllLabel" minOccurs="0"/>
                <xsd:element ref="ns3:TaxKeywordTaxHTField" minOccurs="0"/>
                <xsd:element ref="ns5:LastSharedByUser" minOccurs="0"/>
                <xsd:element ref="ns5:LastSharedByTi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a836-0bb4-4d79-aa0d-20b4805e15e2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3" nillable="true" ma:displayName="Document Date" ma:format="DateOnly" ma:internalName="Document_x0020_Date">
      <xsd:simpleType>
        <xsd:restriction base="dms:DateTime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egal_x0020_Group1" ma:index="13" nillable="true" ma:displayName="Legal Group" ma:format="Dropdown" ma:internalName="Legal_x0020_Group1">
      <xsd:simpleType>
        <xsd:restriction base="dms:Choice">
          <xsd:enumeration value="Claims and General Litigation"/>
          <xsd:enumeration value="Commercial Litigation"/>
          <xsd:enumeration value="Contracts And Intellectual Property"/>
          <xsd:enumeration value="Base Rates and Grid Support"/>
          <xsd:enumeration value="Corporate Governance - Area"/>
          <xsd:enumeration value="Customer and Tariff"/>
          <xsd:enumeration value="Labor and Employment"/>
          <xsd:enumeration value="Licensing and Environmental"/>
          <xsd:enumeration value="Power Procurement"/>
          <xsd:enumeration value="Real Prop and Local Government"/>
          <xsd:enumeration value="Resource Policy and Planning"/>
          <xsd:enumeration value="Transmission and Wholesale Markets"/>
        </xsd:restriction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1da7e81d-6ea8-45c5-b51f-f6fb8dd5843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0a8c02f6-2558-4537-a7e1-51f8d166058a}" ma:internalName="TaxCatchAll" ma:showField="CatchAllData" ma:web="ec52a836-0bb4-4d79-aa0d-20b4805e1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0a8c02f6-2558-4537-a7e1-51f8d166058a}" ma:internalName="TaxCatchAllLabel" ma:readOnly="true" ma:showField="CatchAllDataLabel" ma:web="ec52a836-0bb4-4d79-aa0d-20b4805e15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bc385-919f-4264-8390-972eb2033e46" elementFormDefault="qualified">
    <xsd:import namespace="http://schemas.microsoft.com/office/2006/documentManagement/types"/>
    <xsd:import namespace="http://schemas.microsoft.com/office/infopath/2007/PartnerControls"/>
    <xsd:element name="LastSharedByUser" ma:index="18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ECDCA-F4B9-46E7-A1D9-713946B7C6DE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3ebc385-919f-4264-8390-972eb2033e46"/>
    <ds:schemaRef ds:uri="e45da448-bf9c-43e8-8676-7e88d583ded9"/>
    <ds:schemaRef ds:uri="ec52a836-0bb4-4d79-aa0d-20b4805e15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35F48F-EB6F-4E46-910D-E5CE978D16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E0AF41-DDAD-4A8A-B669-11C5D6EF0E0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6ED8DA-60DB-432B-8A0A-FA132688A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2a836-0bb4-4d79-aa0d-20b4805e15e2"/>
    <ds:schemaRef ds:uri="e45da448-bf9c-43e8-8676-7e88d583ded9"/>
    <ds:schemaRef ds:uri="43ebc385-919f-4264-8390-972eb2033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Portfolio Budget</vt:lpstr>
      <vt:lpstr>Portfolio Savings </vt:lpstr>
      <vt:lpstr>Program Savings Changes 2018 </vt:lpstr>
      <vt:lpstr>Program Savings Changes 2019</vt:lpstr>
      <vt:lpstr>Program Savings Changes 2020</vt:lpstr>
      <vt:lpstr>2018 Subprogram Est.</vt:lpstr>
      <vt:lpstr>App B.1 Budget</vt:lpstr>
      <vt:lpstr>App B.2 Savings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Lee</dc:creator>
  <cp:lastModifiedBy>Microsoft Office User</cp:lastModifiedBy>
  <cp:lastPrinted>2017-02-06T22:21:44Z</cp:lastPrinted>
  <dcterms:created xsi:type="dcterms:W3CDTF">2016-06-14T22:55:41Z</dcterms:created>
  <dcterms:modified xsi:type="dcterms:W3CDTF">2017-03-08T23:20:14Z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0x01010059CF184591B1604A8B5108A47612E8120079F4DEF02488604A908630558A2EAE2A</vt:lpwstr>
  </property>
  <property fmtid="{D5CDD505-2E9C-101B-9397-08002B2CF9AE}" pid="3" name="_dlc_DocIdItemGuid">
    <vt:lpwstr>19101c4f-7985-4181-a7bf-de8fdda83df0</vt:lpwstr>
  </property>
  <property fmtid="{D5CDD505-2E9C-101B-9397-08002B2CF9AE}" pid="4" name="TaxKeyword">
    <vt:lpwstr/>
  </property>
</Properties>
</file>