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0" yWindow="460" windowWidth="10000" windowHeight="7480" tabRatio="885" activeTab="0"/>
  </bookViews>
  <sheets>
    <sheet name="Summary" sheetId="1" r:id="rId1"/>
    <sheet name="FTE Loader Calc" sheetId="2" r:id="rId2"/>
    <sheet name="FTE Loader Calc WP" sheetId="3" r:id="rId3"/>
    <sheet name="2017 FTE Summary" sheetId="4" r:id="rId4"/>
    <sheet name="2017 Budget &amp; Savings" sheetId="5" r:id="rId5"/>
    <sheet name="2017 IDSM DRP" sheetId="6" r:id="rId6"/>
    <sheet name="2017 Forecast Raw Data" sheetId="7" r:id="rId7"/>
    <sheet name="D15-01-023" sheetId="8" r:id="rId8"/>
    <sheet name="Sheet1" sheetId="9" r:id="rId9"/>
  </sheets>
  <definedNames>
    <definedName name="_xlnm.Print_Area" localSheetId="0">'Summary'!$A$1:$K$25</definedName>
  </definedNames>
  <calcPr fullCalcOnLoad="1"/>
  <pivotCaches>
    <pivotCache cacheId="7" r:id="rId10"/>
  </pivotCaches>
</workbook>
</file>

<file path=xl/sharedStrings.xml><?xml version="1.0" encoding="utf-8"?>
<sst xmlns="http://schemas.openxmlformats.org/spreadsheetml/2006/main" count="855" uniqueCount="383">
  <si>
    <t>ProgramCode</t>
  </si>
  <si>
    <t>ProgramName</t>
  </si>
  <si>
    <t>IncentiveAmount</t>
  </si>
  <si>
    <t>AdminFTECount</t>
  </si>
  <si>
    <t>AdminAmount</t>
  </si>
  <si>
    <t>MarketingFTECount</t>
  </si>
  <si>
    <t>MarketingAmount</t>
  </si>
  <si>
    <t>DIFTECount</t>
  </si>
  <si>
    <t>DIAmount</t>
  </si>
  <si>
    <t>3201</t>
  </si>
  <si>
    <t>SW-CALS-Energy Advisor-HEES, UAT</t>
  </si>
  <si>
    <t>3203</t>
  </si>
  <si>
    <t>SW-CALS-Plug Load and Appliances-HEER</t>
  </si>
  <si>
    <t>3204</t>
  </si>
  <si>
    <t>SW-CALS-Plug Load and Appliances-POS Rebates</t>
  </si>
  <si>
    <t>3207</t>
  </si>
  <si>
    <t>SW-CALS-MFEER</t>
  </si>
  <si>
    <t>3209</t>
  </si>
  <si>
    <t>SW-CALS - EUC WHRP - Advanced</t>
  </si>
  <si>
    <t>3211</t>
  </si>
  <si>
    <t>Local-CALS - Middle Income Direct Install (MIDI)</t>
  </si>
  <si>
    <t>3211u</t>
  </si>
  <si>
    <t>Local-CALS - Middle Income Direct Install (MIDI) (Utility)</t>
  </si>
  <si>
    <t>3212</t>
  </si>
  <si>
    <t>SW-CALS - Residential HVAC-QI/QM</t>
  </si>
  <si>
    <t>3212u</t>
  </si>
  <si>
    <t>SW-CALS - Residential HVAC-QI/QM (Utility)</t>
  </si>
  <si>
    <t>3213</t>
  </si>
  <si>
    <t>SW-CALS - CAHP/ESMH-CA Advanced Homes</t>
  </si>
  <si>
    <t>3215</t>
  </si>
  <si>
    <t>3216</t>
  </si>
  <si>
    <t>SW-COM-Customer Services-Benchmarking</t>
  </si>
  <si>
    <t>3217</t>
  </si>
  <si>
    <t>SW-COM-Customer Services- Audits NonRes</t>
  </si>
  <si>
    <t>3220</t>
  </si>
  <si>
    <t>SW-COM-Calculated Incentives-Calculated</t>
  </si>
  <si>
    <t>3222</t>
  </si>
  <si>
    <t>SW-COM-Calculated Incentives-Savings by Design</t>
  </si>
  <si>
    <t>3223</t>
  </si>
  <si>
    <t>SW-COM-Deemed Incentives-Commercial Rebates</t>
  </si>
  <si>
    <t>3224</t>
  </si>
  <si>
    <t>SW-COM-Deemed Incentives-HVAC Commercial</t>
  </si>
  <si>
    <t>3224u</t>
  </si>
  <si>
    <t>SW-COM-Deemed Incentives-HVAC Commercial (Utility)</t>
  </si>
  <si>
    <t>3225</t>
  </si>
  <si>
    <t>SW-COM-Deemed Incentives-HVAC Core</t>
  </si>
  <si>
    <t>3226</t>
  </si>
  <si>
    <t>SW-COM Direct Install</t>
  </si>
  <si>
    <t>3227</t>
  </si>
  <si>
    <t>3228</t>
  </si>
  <si>
    <t>SW-IND-Customer Services-Benchmarking</t>
  </si>
  <si>
    <t>3229</t>
  </si>
  <si>
    <t>SW-IND-Customer Services-Audits NonRes</t>
  </si>
  <si>
    <t>3230</t>
  </si>
  <si>
    <t>SW-IND-Customer Services-Audits CIEEP</t>
  </si>
  <si>
    <t>3230u</t>
  </si>
  <si>
    <t>SW-IND-Customer Services-Audits CIEEP (Utility)</t>
  </si>
  <si>
    <t>3231</t>
  </si>
  <si>
    <t>SW-IND-Calculated Incentives-Calculated</t>
  </si>
  <si>
    <t>3233</t>
  </si>
  <si>
    <t>SW-IND-Deemed Incentives</t>
  </si>
  <si>
    <t>3234</t>
  </si>
  <si>
    <t>SW-AG-Customer Services-Benchmarking</t>
  </si>
  <si>
    <t>3235</t>
  </si>
  <si>
    <t>SW-AG-Customer Services-Pump Test Services</t>
  </si>
  <si>
    <t>3235u</t>
  </si>
  <si>
    <t>SW-AG-Customer Services-Pump Test Services (Utility)</t>
  </si>
  <si>
    <t>3236</t>
  </si>
  <si>
    <t>SW-AG-Customer Services-Audits</t>
  </si>
  <si>
    <t>3237</t>
  </si>
  <si>
    <t>SW-AG-Calculated Incentives-Calculated</t>
  </si>
  <si>
    <t>3239</t>
  </si>
  <si>
    <t>SW-AG-Deemed Incentives</t>
  </si>
  <si>
    <t>3240</t>
  </si>
  <si>
    <t>SW-Lighting-Lighting Market Transformation</t>
  </si>
  <si>
    <t>3241</t>
  </si>
  <si>
    <t>SW-Lighting-Lighting Innovation-ETPC MD</t>
  </si>
  <si>
    <t>3245</t>
  </si>
  <si>
    <t>SW-Lighting-Primary Lighting</t>
  </si>
  <si>
    <t>3246</t>
  </si>
  <si>
    <t>SW-ET-Technology Introduction Support</t>
  </si>
  <si>
    <t>3247</t>
  </si>
  <si>
    <t>SW-ET-Technology Assessment Support</t>
  </si>
  <si>
    <t>3248</t>
  </si>
  <si>
    <t>SW-ET-Technology Deployment Support</t>
  </si>
  <si>
    <t>3249</t>
  </si>
  <si>
    <t>3250</t>
  </si>
  <si>
    <t>SW C&amp;S - Appliance Standards Advocacy</t>
  </si>
  <si>
    <t>3251</t>
  </si>
  <si>
    <t>SW C&amp;S - Compliance Enhancement</t>
  </si>
  <si>
    <t>3252</t>
  </si>
  <si>
    <t>SW C&amp;S - Reach Codes</t>
  </si>
  <si>
    <t>3253</t>
  </si>
  <si>
    <t>SW C&amp;S - Planning Coordination</t>
  </si>
  <si>
    <t>3254</t>
  </si>
  <si>
    <t>SW-WE&amp;T-Centergies</t>
  </si>
  <si>
    <t>3255</t>
  </si>
  <si>
    <t>SW-WE&amp;T-Connections</t>
  </si>
  <si>
    <t>3257</t>
  </si>
  <si>
    <t>SW-WE&amp;T-Strategic Planning</t>
  </si>
  <si>
    <t>3260</t>
  </si>
  <si>
    <t>Local-IDSM-ME&amp;O-Local Marketing (EE)</t>
  </si>
  <si>
    <t>3261</t>
  </si>
  <si>
    <t>Local-IDSM-ME&amp;O-Behavioral Programs (EE)</t>
  </si>
  <si>
    <t>3262</t>
  </si>
  <si>
    <t>SW-FIN-On-Bill Finance</t>
  </si>
  <si>
    <t>3264</t>
  </si>
  <si>
    <t>SW-FIN-New Finance Offerings</t>
  </si>
  <si>
    <t>3266</t>
  </si>
  <si>
    <t>LInstP-CA Department of Corrections Partnership</t>
  </si>
  <si>
    <t>3267</t>
  </si>
  <si>
    <t>LInstP-California Community College Partnership</t>
  </si>
  <si>
    <t>3268</t>
  </si>
  <si>
    <t>LInstP-UC/CSU/IOU Partnership</t>
  </si>
  <si>
    <t>3269</t>
  </si>
  <si>
    <t>LInstP-State of California /IOU</t>
  </si>
  <si>
    <t>3270</t>
  </si>
  <si>
    <t>LInstP-University of San Diego Partnership</t>
  </si>
  <si>
    <t>3271</t>
  </si>
  <si>
    <t>LInstP-San Diego County Water Authority Partnership</t>
  </si>
  <si>
    <t>3272</t>
  </si>
  <si>
    <t>LGP- City of Chula Vista Partnership</t>
  </si>
  <si>
    <t>3273</t>
  </si>
  <si>
    <t>LGP- City of San Diego Partnership</t>
  </si>
  <si>
    <t>3274</t>
  </si>
  <si>
    <t>LGP- County of San Diego Partnership</t>
  </si>
  <si>
    <t>3275</t>
  </si>
  <si>
    <t>LGP- Port of San Diego Partnership</t>
  </si>
  <si>
    <t>3276</t>
  </si>
  <si>
    <t>LGP- SANDAG Partnership</t>
  </si>
  <si>
    <t>3277</t>
  </si>
  <si>
    <t>LGP- SEEC Partnership</t>
  </si>
  <si>
    <t>3278</t>
  </si>
  <si>
    <t>LGP- Emerging Cities Partnership</t>
  </si>
  <si>
    <t>3279</t>
  </si>
  <si>
    <t>3P-Res-Comprehensive Manufactured-Mobile Home</t>
  </si>
  <si>
    <t>3279u</t>
  </si>
  <si>
    <t>3P-Res-Comprehensive Manufactured-Mobile Home (Utility)</t>
  </si>
  <si>
    <t>3280</t>
  </si>
  <si>
    <t>3280u</t>
  </si>
  <si>
    <t>3281</t>
  </si>
  <si>
    <t>EM&amp;V-Evaluation Measurement &amp; Verification</t>
  </si>
  <si>
    <t>3282</t>
  </si>
  <si>
    <t>SW-IDSM-IDSM</t>
  </si>
  <si>
    <t>3283</t>
  </si>
  <si>
    <t>SW-COM-Customer Services- Audits NonRes (TA)</t>
  </si>
  <si>
    <t>3284</t>
  </si>
  <si>
    <t>SW-IND-Customer Services- Audits NonRes (TA)</t>
  </si>
  <si>
    <t>3285</t>
  </si>
  <si>
    <t>SW-AG-Customer Services- Audits (TA)</t>
  </si>
  <si>
    <t>3286</t>
  </si>
  <si>
    <t>Local-IDSM-ME&amp;O-Local Marketing (DR)</t>
  </si>
  <si>
    <t>3288</t>
  </si>
  <si>
    <t>CRM</t>
  </si>
  <si>
    <t>3291</t>
  </si>
  <si>
    <t>SW-Ind-Customer Services-Pump Test Services</t>
  </si>
  <si>
    <t>3291u</t>
  </si>
  <si>
    <t>SW-Ind-Customer Services-Pump Test Services (Utility)</t>
  </si>
  <si>
    <t>3292</t>
  </si>
  <si>
    <t>SW-Com-Customer Services-Pump Test Services</t>
  </si>
  <si>
    <t>3292u</t>
  </si>
  <si>
    <t>SW-Com-Customer Services-Pump Test Services (Utility)</t>
  </si>
  <si>
    <t>3293</t>
  </si>
  <si>
    <t>SW-CALS - Residential HVAC-HVAC Core</t>
  </si>
  <si>
    <t>3294</t>
  </si>
  <si>
    <t>Local-IDSM-ME&amp;O-Behavioral Programs (DR)</t>
  </si>
  <si>
    <t>3296</t>
  </si>
  <si>
    <t>Small Business Lease Off-Bill</t>
  </si>
  <si>
    <t>3297</t>
  </si>
  <si>
    <t>Single-family Loan Program</t>
  </si>
  <si>
    <t>3298</t>
  </si>
  <si>
    <t>Medium/Large OBR</t>
  </si>
  <si>
    <t>3299</t>
  </si>
  <si>
    <t>Master Metered Multifamily OBR</t>
  </si>
  <si>
    <t>3300</t>
  </si>
  <si>
    <t>Small Business Lease OBR</t>
  </si>
  <si>
    <t>3301</t>
  </si>
  <si>
    <t>Small Business Loan OBR</t>
  </si>
  <si>
    <t>3302</t>
  </si>
  <si>
    <t>RES Upstream HVAC Incentive Program</t>
  </si>
  <si>
    <t>3303</t>
  </si>
  <si>
    <t>HVAC To Code Compliance Incentive Program</t>
  </si>
  <si>
    <t>TotalBudget</t>
  </si>
  <si>
    <t>RefreshDateTime</t>
  </si>
  <si>
    <t>Type</t>
  </si>
  <si>
    <t>DRP</t>
  </si>
  <si>
    <t>EE</t>
  </si>
  <si>
    <t>Grand Total</t>
  </si>
  <si>
    <t>Sum of AdminFTECount</t>
  </si>
  <si>
    <t>Sum of MarketingFTECount</t>
  </si>
  <si>
    <t>Sum of DIFTECount</t>
  </si>
  <si>
    <t>Overhead FTEs</t>
  </si>
  <si>
    <t>EMV FTEs</t>
  </si>
  <si>
    <t>GRC Labor Loaders Not Included in</t>
  </si>
  <si>
    <t>EE Budget Authorized in D.12-11-015</t>
  </si>
  <si>
    <t>Description</t>
  </si>
  <si>
    <t>1000 $'s</t>
  </si>
  <si>
    <t>Loader/FTE that follow Labor Type</t>
  </si>
  <si>
    <t>Workers Compensation</t>
  </si>
  <si>
    <t>PLPD</t>
  </si>
  <si>
    <t>Incentive Compensation Plan</t>
  </si>
  <si>
    <t>Total (WC, PLPD, ICP)</t>
  </si>
  <si>
    <t>Pensions &amp; Benefits</t>
  </si>
  <si>
    <t>a.</t>
  </si>
  <si>
    <t>Pension</t>
  </si>
  <si>
    <t>b.</t>
  </si>
  <si>
    <t>PBOPS</t>
  </si>
  <si>
    <t>c.</t>
  </si>
  <si>
    <t>Medical</t>
  </si>
  <si>
    <t>d.</t>
  </si>
  <si>
    <t>Retirement Savings Plan</t>
  </si>
  <si>
    <t>e.</t>
  </si>
  <si>
    <t>Other</t>
  </si>
  <si>
    <t>Total GRC Labor Loaders</t>
  </si>
  <si>
    <t>GRC FTEs</t>
  </si>
  <si>
    <t>Loader per FTE</t>
  </si>
  <si>
    <t>San Diego Gas &amp; Electric Company</t>
  </si>
  <si>
    <t>ADMIN_FTEs</t>
  </si>
  <si>
    <t>MKTG_FTEs</t>
  </si>
  <si>
    <t>DI_FTEs</t>
  </si>
  <si>
    <t>TOTAL Program FTEs</t>
  </si>
  <si>
    <t>Overhead FTE</t>
  </si>
  <si>
    <t>EMV FTE</t>
  </si>
  <si>
    <t>Total Labor Loader</t>
  </si>
  <si>
    <t>Non-Admin Loaders</t>
  </si>
  <si>
    <t>Admin Loader</t>
  </si>
  <si>
    <t>Total Labor following Loaders/FTE</t>
  </si>
  <si>
    <t>ME&amp;O Labor Loaders</t>
  </si>
  <si>
    <t>DI Labor Loaders</t>
  </si>
  <si>
    <t>Total Non-Admin Labor Loaders</t>
  </si>
  <si>
    <t>Admin</t>
  </si>
  <si>
    <t>ME&amp;O</t>
  </si>
  <si>
    <t>Direct Implementation</t>
  </si>
  <si>
    <t>Incentives</t>
  </si>
  <si>
    <t>EM&amp;V</t>
  </si>
  <si>
    <t>Total EE Budget</t>
  </si>
  <si>
    <t>GRC Admin Loaders</t>
  </si>
  <si>
    <t>GRC ME&amp;O Loaders</t>
  </si>
  <si>
    <t>GRC DI Loaders</t>
  </si>
  <si>
    <t>Total (EE + GRC)</t>
  </si>
  <si>
    <t>OBF Loan Pool</t>
  </si>
  <si>
    <t>Total Funds</t>
  </si>
  <si>
    <t>%Admin</t>
  </si>
  <si>
    <t>%MEO</t>
  </si>
  <si>
    <t>%DI</t>
  </si>
  <si>
    <t>%Incentives</t>
  </si>
  <si>
    <t>EM&amp;V %</t>
  </si>
  <si>
    <t>July Application</t>
  </si>
  <si>
    <t>Caps/Targets</t>
  </si>
  <si>
    <t>Notes:</t>
  </si>
  <si>
    <t>(2) D.09-09-047 allows for administrative exemptions for selected programs (D.09-09-047 pp.50-51).</t>
  </si>
  <si>
    <t>(4) Administrative budget does not include EM&amp;V.</t>
  </si>
  <si>
    <t>(5) EM&amp;V is 4% of authorized EE Budget.</t>
  </si>
  <si>
    <t>Sum of AdminAmount</t>
  </si>
  <si>
    <t>Sum of MarketingAmount</t>
  </si>
  <si>
    <t>Sum of DIAmount</t>
  </si>
  <si>
    <t>Cross Foot Check</t>
  </si>
  <si>
    <t>SW C&amp;S - Building Codes &amp; Compliance Advocacy ( NET SAVINGS )</t>
  </si>
  <si>
    <t>Data</t>
  </si>
  <si>
    <t>Sum of IncentiveAmount</t>
  </si>
  <si>
    <t>OBF Loanpool</t>
  </si>
  <si>
    <t>3P</t>
  </si>
  <si>
    <t>X</t>
  </si>
  <si>
    <t>EM&amp;V Budget</t>
  </si>
  <si>
    <t>Sum of TotalBudget</t>
  </si>
  <si>
    <t>Codes &amp; Standards</t>
  </si>
  <si>
    <t>(3) ICP, Workman's Comp and PLPD Loaders follows labor, therefore are associated with the Admin, ME&amp;O and DI Labor</t>
  </si>
  <si>
    <t>(1) Total Budget for percentage basis calculation includes authorized EE budget, OBF Loan Pool and GRC loaders associated with EE FTEs.</t>
  </si>
  <si>
    <t>3PCode</t>
  </si>
  <si>
    <t>AdminExempt</t>
  </si>
  <si>
    <t>3203W</t>
  </si>
  <si>
    <t>SW-CALS-Plug Load and Appliances-HEER - KITS</t>
  </si>
  <si>
    <t>3307</t>
  </si>
  <si>
    <t>3P-ZELDA</t>
  </si>
  <si>
    <t>3307U</t>
  </si>
  <si>
    <t>3P-ZELDA (Utility)</t>
  </si>
  <si>
    <t>3308</t>
  </si>
  <si>
    <t>Finance Pilot ME&amp;O OBR</t>
  </si>
  <si>
    <t>3311</t>
  </si>
  <si>
    <t>3P-Energy Advantage Program (EAP)</t>
  </si>
  <si>
    <t>3311U</t>
  </si>
  <si>
    <t>3P-Energy Advantage Program (EAP) (Utility)</t>
  </si>
  <si>
    <t>3312</t>
  </si>
  <si>
    <t>OBR Information Systems Activities</t>
  </si>
  <si>
    <t>3313</t>
  </si>
  <si>
    <t>Locational Energy Efficiency</t>
  </si>
  <si>
    <t>3314</t>
  </si>
  <si>
    <t>SDGE Marketplace</t>
  </si>
  <si>
    <t>3317</t>
  </si>
  <si>
    <t>HOPPs - Building Retro-Commissioning</t>
  </si>
  <si>
    <t>3318</t>
  </si>
  <si>
    <t>HOPPs - Multi Family</t>
  </si>
  <si>
    <t>Total FTE Count</t>
  </si>
  <si>
    <t>2015 Approved Budgets</t>
  </si>
  <si>
    <t>Percentage of 3P Budget to EE Portoflio Budget</t>
  </si>
  <si>
    <t>Summary of 2016 FTE Loader Estimates</t>
  </si>
  <si>
    <t>Overhead &amp; EM&amp;V FTE</t>
  </si>
  <si>
    <t>AdjGrosskW1stBaseline</t>
  </si>
  <si>
    <t>AdjGrosskWh1stBaseline</t>
  </si>
  <si>
    <t>AdjGrossThermSavings</t>
  </si>
  <si>
    <t>SW-COM-Strategic Energy Management</t>
  </si>
  <si>
    <t>SW-IND-Strategic Energy Management</t>
  </si>
  <si>
    <t>3P-IDEEA</t>
  </si>
  <si>
    <t>3P-IDEEA (Utility)</t>
  </si>
  <si>
    <t>3296B</t>
  </si>
  <si>
    <t>Small Business Lease Off-Bill (Credit Enh)</t>
  </si>
  <si>
    <t>3297B</t>
  </si>
  <si>
    <t>Single-family Loan Program (Credit Enh)</t>
  </si>
  <si>
    <t>3299B</t>
  </si>
  <si>
    <t>Master Metered Multifamily OBR (Credit Enh)</t>
  </si>
  <si>
    <t>3300B</t>
  </si>
  <si>
    <t>Small Business Lease OBR (Credit Enh)</t>
  </si>
  <si>
    <t>3301B</t>
  </si>
  <si>
    <t>Small Business Loan OBR (Credit Enh)</t>
  </si>
  <si>
    <t>3317u</t>
  </si>
  <si>
    <t>HOPPs - Building Retro-Commissioning (Utility)</t>
  </si>
  <si>
    <t>2017 Total</t>
  </si>
  <si>
    <t>Difference 2017-2015</t>
  </si>
  <si>
    <t>Category</t>
  </si>
  <si>
    <t>Electric Demand Response Funds</t>
  </si>
  <si>
    <t>Electric Energy Efficiency Funds</t>
  </si>
  <si>
    <t>Natural Gas Public Purpose Funds</t>
  </si>
  <si>
    <t>Total Energy Efficiency Funds</t>
  </si>
  <si>
    <t>Programs Funds</t>
  </si>
  <si>
    <t>Total</t>
  </si>
  <si>
    <t>N/A</t>
  </si>
  <si>
    <t>Program Area</t>
  </si>
  <si>
    <t>Residential</t>
  </si>
  <si>
    <t>Industrial</t>
  </si>
  <si>
    <t>Agricultural</t>
  </si>
  <si>
    <t>Lighting</t>
  </si>
  <si>
    <t>Financing</t>
  </si>
  <si>
    <t>Subtotal Statewide Resource Programs</t>
  </si>
  <si>
    <t>Third Party Programs</t>
  </si>
  <si>
    <t>State &amp; Local Government Partnerships</t>
  </si>
  <si>
    <t>Subtotal Non-Utility Programs</t>
  </si>
  <si>
    <t>Emerging Technologies</t>
  </si>
  <si>
    <t>Workforce, Education &amp; Training</t>
  </si>
  <si>
    <t>Integrated Demand Side Management</t>
  </si>
  <si>
    <t>Subtotal Non-resource Programs</t>
  </si>
  <si>
    <t>Total All Programs</t>
  </si>
  <si>
    <t>Total EE Portfolio</t>
  </si>
  <si>
    <t>Approved Budget</t>
  </si>
  <si>
    <t>Commercial</t>
  </si>
  <si>
    <t>Energy (GWH)</t>
  </si>
  <si>
    <t>Energy (MMTherms)</t>
  </si>
  <si>
    <t>SDG&amp;E Programs</t>
  </si>
  <si>
    <t>Net C&amp;S</t>
  </si>
  <si>
    <t>Demand Reduction (MW)*</t>
  </si>
  <si>
    <t>*Numbers are rounded.</t>
  </si>
  <si>
    <t>* Does not include Statewide ME&amp;O</t>
  </si>
  <si>
    <t>Financing**</t>
  </si>
  <si>
    <t>**Does not include the On-Bill Financing revolving loan funds.</t>
  </si>
  <si>
    <t>Sum of Total Third Party Program</t>
  </si>
  <si>
    <t>(blank)</t>
  </si>
  <si>
    <t>Sum of Total Budgets</t>
  </si>
  <si>
    <t>Admin Excempted Programs</t>
  </si>
  <si>
    <t>Sum by Cost Category</t>
  </si>
  <si>
    <t>Sum of FTEs</t>
  </si>
  <si>
    <t>2017 FTE Budget Count</t>
  </si>
  <si>
    <t>Summary of 2017 EE Budgets and Savings</t>
  </si>
  <si>
    <t>(6) Total EE budget does not include Statewide ME&amp;O.</t>
  </si>
  <si>
    <t>Admin Budget</t>
  </si>
  <si>
    <t>Marketing Budget</t>
  </si>
  <si>
    <t>Direct Implementation Budget</t>
  </si>
  <si>
    <t>Total Budget</t>
  </si>
  <si>
    <t>Total DRP IDSM Budget</t>
  </si>
  <si>
    <t>IDSM</t>
  </si>
  <si>
    <t>Third Party</t>
  </si>
  <si>
    <t>Workforce Education &amp; Training</t>
  </si>
  <si>
    <t>Partnerships</t>
  </si>
  <si>
    <t>Evaluation Measurement &amp; Evaluation</t>
  </si>
  <si>
    <t>Other Resource</t>
  </si>
  <si>
    <t>Resource</t>
  </si>
  <si>
    <t>N</t>
  </si>
  <si>
    <t>Y</t>
  </si>
  <si>
    <t xml:space="preserve">(2) FTE loaders were adopted in SDG&amp;E 2016 GRC D.16-06-054
</t>
  </si>
  <si>
    <t>2017 Budgets</t>
  </si>
  <si>
    <t>SW</t>
  </si>
  <si>
    <t>y</t>
  </si>
  <si>
    <t>Approved 2015 EE Budgets by Program Area</t>
  </si>
  <si>
    <t>Approved 2015 Budgets and Savings Goals</t>
  </si>
  <si>
    <t>IDSM DRP Budgets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</si>
</sst>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&quot;$&quot;* #,##0_);_(&quot;$&quot;* \(#,##0\);_(&quot;$&quot;* &quot;-&quot;??_);_(@_)"/>
    <numFmt numFmtId="174" formatCode="[$-409]m/d/yy\ h:mm\ AM/PM;@"/>
    <numFmt numFmtId="175" formatCode="0."/>
    <numFmt numFmtId="176" formatCode="&quot;$&quot;#,##0"/>
    <numFmt numFmtId="177" formatCode="&quot;$&quot;#,##0.00"/>
    <numFmt numFmtId="178" formatCode="0.0%"/>
    <numFmt numFmtId="179" formatCode="_(&quot;$&quot;* #,##0.0_);_(&quot;$&quot;* \(#,##0.0\);_(&quot;$&quot;* &quot;-&quot;??_);_(@_)"/>
    <numFmt numFmtId="180" formatCode="_(* #,##0.0_);_(* \(#,##0.0\);_(* &quot;-&quot;??_);_(@_)"/>
    <numFmt numFmtId="181" formatCode="_(&quot;$&quot;* #,##0.0_);_(&quot;$&quot;* \(#,##0.0\);_(&quot;$&quot;* &quot;-&quot;?_);_(@_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$&quot;* #,##0.000_);_(&quot;$&quot;* \(#,##0.000\);_(&quot;$&quot;* &quot;-&quot;??_);_(@_)"/>
    <numFmt numFmtId="188" formatCode="0.0"/>
    <numFmt numFmtId="189" formatCode="&quot;$&quot;#,##0.00;\(&quot;$&quot;#,##0.00\)"/>
    <numFmt numFmtId="190" formatCode="0.000"/>
    <numFmt numFmtId="191" formatCode="_(* #,##0.000_);_(* \(#,##0.000\);_(* &quot;-&quot;??_);_(@_)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15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170" fontId="0" fillId="0" borderId="0" xfId="44" applyFont="1" applyAlignment="1">
      <alignment/>
    </xf>
    <xf numFmtId="172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7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175" fontId="0" fillId="0" borderId="0" xfId="0" applyNumberFormat="1" applyAlignment="1" quotePrefix="1">
      <alignment horizontal="right"/>
    </xf>
    <xf numFmtId="176" fontId="0" fillId="0" borderId="0" xfId="42" applyNumberFormat="1" applyFont="1" applyAlignment="1">
      <alignment/>
    </xf>
    <xf numFmtId="175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10" xfId="0" applyFill="1" applyBorder="1" applyAlignment="1" quotePrefix="1">
      <alignment horizontal="right"/>
    </xf>
    <xf numFmtId="172" fontId="0" fillId="0" borderId="10" xfId="42" applyNumberFormat="1" applyFont="1" applyBorder="1" applyAlignment="1">
      <alignment/>
    </xf>
    <xf numFmtId="177" fontId="0" fillId="0" borderId="0" xfId="42" applyNumberFormat="1" applyFont="1" applyAlignment="1">
      <alignment/>
    </xf>
    <xf numFmtId="0" fontId="2" fillId="0" borderId="0" xfId="57" applyFont="1">
      <alignment/>
      <protection/>
    </xf>
    <xf numFmtId="0" fontId="2" fillId="0" borderId="0" xfId="57">
      <alignment/>
      <protection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173" fontId="0" fillId="0" borderId="11" xfId="44" applyNumberFormat="1" applyFont="1" applyBorder="1" applyAlignment="1">
      <alignment/>
    </xf>
    <xf numFmtId="1" fontId="0" fillId="0" borderId="11" xfId="0" applyNumberFormat="1" applyBorder="1" applyAlignment="1">
      <alignment/>
    </xf>
    <xf numFmtId="173" fontId="0" fillId="33" borderId="11" xfId="44" applyNumberFormat="1" applyFont="1" applyFill="1" applyBorder="1" applyAlignment="1">
      <alignment/>
    </xf>
    <xf numFmtId="172" fontId="48" fillId="0" borderId="0" xfId="42" applyNumberFormat="1" applyFont="1" applyAlignment="1">
      <alignment/>
    </xf>
    <xf numFmtId="3" fontId="48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0" xfId="44" applyNumberFormat="1" applyFont="1" applyFill="1" applyAlignment="1">
      <alignment/>
    </xf>
    <xf numFmtId="188" fontId="0" fillId="0" borderId="0" xfId="0" applyNumberFormat="1" applyAlignment="1">
      <alignment/>
    </xf>
    <xf numFmtId="188" fontId="0" fillId="0" borderId="16" xfId="0" applyNumberFormat="1" applyBorder="1" applyAlignment="1">
      <alignment/>
    </xf>
    <xf numFmtId="188" fontId="0" fillId="0" borderId="20" xfId="0" applyNumberFormat="1" applyBorder="1" applyAlignment="1">
      <alignment/>
    </xf>
    <xf numFmtId="0" fontId="0" fillId="0" borderId="11" xfId="0" applyFill="1" applyBorder="1" applyAlignment="1">
      <alignment/>
    </xf>
    <xf numFmtId="188" fontId="0" fillId="0" borderId="11" xfId="0" applyNumberFormat="1" applyBorder="1" applyAlignment="1">
      <alignment/>
    </xf>
    <xf numFmtId="0" fontId="0" fillId="34" borderId="11" xfId="0" applyFill="1" applyBorder="1" applyAlignment="1">
      <alignment/>
    </xf>
    <xf numFmtId="188" fontId="0" fillId="0" borderId="2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88" fontId="0" fillId="0" borderId="0" xfId="0" applyNumberFormat="1" applyFill="1" applyBorder="1" applyAlignment="1">
      <alignment/>
    </xf>
    <xf numFmtId="0" fontId="2" fillId="0" borderId="0" xfId="57" applyFont="1">
      <alignment/>
      <protection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0" fontId="0" fillId="34" borderId="0" xfId="61" applyNumberFormat="1" applyFont="1" applyFill="1" applyAlignment="1">
      <alignment/>
    </xf>
    <xf numFmtId="176" fontId="0" fillId="0" borderId="0" xfId="0" applyNumberFormat="1" applyAlignment="1" applyProtection="1">
      <alignment vertical="center"/>
      <protection/>
    </xf>
    <xf numFmtId="174" fontId="0" fillId="0" borderId="0" xfId="0" applyNumberFormat="1" applyAlignment="1" applyProtection="1">
      <alignment vertical="center"/>
      <protection/>
    </xf>
    <xf numFmtId="3" fontId="0" fillId="0" borderId="10" xfId="42" applyNumberFormat="1" applyFont="1" applyBorder="1" applyAlignment="1">
      <alignment/>
    </xf>
    <xf numFmtId="173" fontId="0" fillId="0" borderId="11" xfId="44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173" fontId="49" fillId="0" borderId="11" xfId="44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173" fontId="50" fillId="0" borderId="11" xfId="44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173" fontId="51" fillId="0" borderId="0" xfId="44" applyNumberFormat="1" applyFont="1" applyAlignment="1">
      <alignment/>
    </xf>
    <xf numFmtId="0" fontId="49" fillId="0" borderId="11" xfId="0" applyFont="1" applyBorder="1" applyAlignment="1">
      <alignment horizontal="center" wrapText="1"/>
    </xf>
    <xf numFmtId="173" fontId="50" fillId="0" borderId="11" xfId="44" applyNumberFormat="1" applyFont="1" applyBorder="1" applyAlignment="1">
      <alignment wrapText="1"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22" xfId="57" applyFont="1" applyBorder="1">
      <alignment/>
      <protection/>
    </xf>
    <xf numFmtId="0" fontId="4" fillId="0" borderId="23" xfId="57" applyFont="1" applyBorder="1" applyAlignment="1">
      <alignment horizontal="centerContinuous"/>
      <protection/>
    </xf>
    <xf numFmtId="0" fontId="4" fillId="0" borderId="24" xfId="57" applyFont="1" applyBorder="1" applyAlignment="1">
      <alignment horizontal="centerContinuous"/>
      <protection/>
    </xf>
    <xf numFmtId="0" fontId="4" fillId="0" borderId="2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26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168" fontId="4" fillId="0" borderId="11" xfId="57" applyNumberFormat="1" applyFont="1" applyBorder="1">
      <alignment/>
      <protection/>
    </xf>
    <xf numFmtId="0" fontId="4" fillId="0" borderId="25" xfId="57" applyFont="1" applyBorder="1">
      <alignment/>
      <protection/>
    </xf>
    <xf numFmtId="168" fontId="4" fillId="0" borderId="26" xfId="57" applyNumberFormat="1" applyFont="1" applyBorder="1">
      <alignment/>
      <protection/>
    </xf>
    <xf numFmtId="170" fontId="4" fillId="0" borderId="0" xfId="44" applyFont="1" applyAlignment="1">
      <alignment/>
    </xf>
    <xf numFmtId="0" fontId="4" fillId="0" borderId="11" xfId="57" applyFont="1" applyBorder="1">
      <alignment/>
      <protection/>
    </xf>
    <xf numFmtId="0" fontId="4" fillId="0" borderId="26" xfId="57" applyFont="1" applyBorder="1">
      <alignment/>
      <protection/>
    </xf>
    <xf numFmtId="168" fontId="4" fillId="0" borderId="0" xfId="57" applyNumberFormat="1" applyFont="1">
      <alignment/>
      <protection/>
    </xf>
    <xf numFmtId="170" fontId="4" fillId="0" borderId="0" xfId="57" applyNumberFormat="1" applyFont="1">
      <alignment/>
      <protection/>
    </xf>
    <xf numFmtId="0" fontId="3" fillId="0" borderId="25" xfId="57" applyFont="1" applyBorder="1">
      <alignment/>
      <protection/>
    </xf>
    <xf numFmtId="178" fontId="3" fillId="0" borderId="11" xfId="57" applyNumberFormat="1" applyFont="1" applyBorder="1">
      <alignment/>
      <protection/>
    </xf>
    <xf numFmtId="178" fontId="4" fillId="0" borderId="11" xfId="57" applyNumberFormat="1" applyFont="1" applyBorder="1">
      <alignment/>
      <protection/>
    </xf>
    <xf numFmtId="0" fontId="4" fillId="0" borderId="27" xfId="57" applyFont="1" applyBorder="1">
      <alignment/>
      <protection/>
    </xf>
    <xf numFmtId="178" fontId="4" fillId="0" borderId="28" xfId="57" applyNumberFormat="1" applyFont="1" applyBorder="1">
      <alignment/>
      <protection/>
    </xf>
    <xf numFmtId="0" fontId="4" fillId="0" borderId="29" xfId="57" applyFont="1" applyBorder="1">
      <alignment/>
      <protection/>
    </xf>
    <xf numFmtId="168" fontId="4" fillId="0" borderId="0" xfId="57" applyNumberFormat="1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173" fontId="4" fillId="0" borderId="0" xfId="44" applyNumberFormat="1" applyFont="1" applyAlignment="1">
      <alignment/>
    </xf>
    <xf numFmtId="0" fontId="4" fillId="0" borderId="0" xfId="57" applyFont="1" applyBorder="1">
      <alignment/>
      <protection/>
    </xf>
    <xf numFmtId="0" fontId="50" fillId="0" borderId="0" xfId="0" applyFont="1" applyAlignment="1">
      <alignment/>
    </xf>
    <xf numFmtId="173" fontId="50" fillId="0" borderId="11" xfId="44" applyNumberFormat="1" applyFont="1" applyBorder="1" applyAlignment="1">
      <alignment horizontal="right" wrapText="1"/>
    </xf>
    <xf numFmtId="0" fontId="45" fillId="35" borderId="0" xfId="0" applyFont="1" applyFill="1" applyAlignment="1">
      <alignment horizontal="center"/>
    </xf>
    <xf numFmtId="176" fontId="45" fillId="35" borderId="0" xfId="0" applyNumberFormat="1" applyFont="1" applyFill="1" applyAlignment="1">
      <alignment horizontal="center"/>
    </xf>
    <xf numFmtId="3" fontId="45" fillId="35" borderId="0" xfId="42" applyNumberFormat="1" applyFont="1" applyFill="1" applyAlignment="1">
      <alignment horizontal="center"/>
    </xf>
    <xf numFmtId="174" fontId="45" fillId="35" borderId="0" xfId="0" applyNumberFormat="1" applyFont="1" applyFill="1" applyAlignment="1">
      <alignment horizontal="center"/>
    </xf>
    <xf numFmtId="3" fontId="0" fillId="0" borderId="0" xfId="42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30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31" xfId="0" applyNumberFormat="1" applyBorder="1" applyAlignment="1">
      <alignment/>
    </xf>
    <xf numFmtId="173" fontId="0" fillId="34" borderId="11" xfId="44" applyNumberFormat="1" applyFont="1" applyFill="1" applyBorder="1" applyAlignment="1">
      <alignment/>
    </xf>
    <xf numFmtId="173" fontId="0" fillId="0" borderId="18" xfId="0" applyNumberFormat="1" applyBorder="1" applyAlignment="1">
      <alignment/>
    </xf>
    <xf numFmtId="173" fontId="0" fillId="0" borderId="32" xfId="0" applyNumberFormat="1" applyBorder="1" applyAlignment="1">
      <alignment/>
    </xf>
    <xf numFmtId="173" fontId="0" fillId="0" borderId="21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18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3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 wrapText="1"/>
    </xf>
    <xf numFmtId="176" fontId="0" fillId="0" borderId="11" xfId="0" applyNumberFormat="1" applyBorder="1" applyAlignment="1" applyProtection="1">
      <alignment vertical="center"/>
      <protection/>
    </xf>
    <xf numFmtId="176" fontId="0" fillId="0" borderId="11" xfId="0" applyNumberFormat="1" applyBorder="1" applyAlignment="1">
      <alignment/>
    </xf>
    <xf numFmtId="176" fontId="45" fillId="0" borderId="11" xfId="0" applyNumberFormat="1" applyFont="1" applyBorder="1" applyAlignment="1">
      <alignment/>
    </xf>
    <xf numFmtId="178" fontId="4" fillId="0" borderId="0" xfId="57" applyNumberFormat="1" applyFont="1" applyBorder="1">
      <alignment/>
      <protection/>
    </xf>
    <xf numFmtId="0" fontId="1" fillId="36" borderId="31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right"/>
      <protection/>
    </xf>
    <xf numFmtId="0" fontId="1" fillId="0" borderId="33" xfId="58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numFmt numFmtId="173" formatCode="_(&quot;$&quot;* #,##0_);_(&quot;$&quot;* \(#,##0\);_(&quot;$&quot;* &quot;-&quot;??_);_(@_)"/>
      <border/>
    </dxf>
    <dxf>
      <numFmt numFmtId="188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107" sheet="2017 Forecast Raw Data"/>
  </cacheSource>
  <cacheFields count="16">
    <cacheField name="Type">
      <sharedItems containsMixedTypes="0" count="2">
        <s v="DRP"/>
        <s v="EE"/>
      </sharedItems>
    </cacheField>
    <cacheField name="3PCode">
      <sharedItems containsBlank="1" containsMixedTypes="0" count="2">
        <s v="3P"/>
        <m/>
      </sharedItems>
    </cacheField>
    <cacheField name="AdminExempt">
      <sharedItems containsBlank="1" containsMixedTypes="0" count="2">
        <m/>
        <s v="X"/>
      </sharedItems>
    </cacheField>
    <cacheField name="ProgramCode">
      <sharedItems containsMixedTypes="0"/>
    </cacheField>
    <cacheField name="ProgramName">
      <sharedItems containsMixedTypes="0"/>
    </cacheField>
    <cacheField name="IncentiveAmount">
      <sharedItems containsSemiMixedTypes="0" containsString="0" containsMixedTypes="0" containsNumber="1"/>
    </cacheField>
    <cacheField name="AdjGrosskW1stBaseline">
      <sharedItems containsSemiMixedTypes="0" containsString="0" containsMixedTypes="0" containsNumber="1"/>
    </cacheField>
    <cacheField name="AdjGrosskWh1stBaseline">
      <sharedItems containsSemiMixedTypes="0" containsString="0" containsMixedTypes="0" containsNumber="1" containsInteger="1"/>
    </cacheField>
    <cacheField name="AdjGrossThermSavings">
      <sharedItems containsSemiMixedTypes="0" containsString="0" containsMixedTypes="0" containsNumber="1" containsInteger="1"/>
    </cacheField>
    <cacheField name="AdminFTECount">
      <sharedItems containsSemiMixedTypes="0" containsString="0" containsMixedTypes="0" containsNumber="1"/>
    </cacheField>
    <cacheField name="AdminAmount">
      <sharedItems containsSemiMixedTypes="0" containsString="0" containsMixedTypes="0" containsNumber="1"/>
    </cacheField>
    <cacheField name="MarketingFTECount">
      <sharedItems containsSemiMixedTypes="0" containsString="0" containsMixedTypes="0" containsNumber="1"/>
    </cacheField>
    <cacheField name="MarketingAmount">
      <sharedItems containsSemiMixedTypes="0" containsString="0" containsMixedTypes="0" containsNumber="1"/>
    </cacheField>
    <cacheField name="DIFTECount">
      <sharedItems containsSemiMixedTypes="0" containsString="0" containsMixedTypes="0" containsNumber="1"/>
    </cacheField>
    <cacheField name="DIAmount">
      <sharedItems containsSemiMixedTypes="0" containsString="0" containsMixedTypes="0" containsNumber="1"/>
    </cacheField>
    <cacheField name="TotalBudge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D13" firstHeaderRow="1" firstDataRow="2" firstDataCol="1"/>
  <pivotFields count="16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/>
    <pivotField compact="0" outline="0" subtotalTop="0" showAll="0" numFmtId="176"/>
    <pivotField dataField="1" compact="0" outline="0" subtotalTop="0" showAll="0"/>
    <pivotField compact="0" outline="0" subtotalTop="0" showAll="0" numFmtId="176"/>
    <pivotField dataField="1" compact="0" outline="0" subtotalTop="0" showAll="0"/>
    <pivotField compact="0" outline="0" subtotalTop="0" showAll="0" numFmtId="176"/>
    <pivotField compact="0" outline="0" subtotalTop="0" showAll="0" numFmtId="176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dminFTECount" fld="9" baseField="0" baseItem="0"/>
    <dataField name="Sum of MarketingFTECount" fld="11" baseField="0" baseItem="0"/>
    <dataField name="Sum of DIFTECount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D11" firstHeaderRow="1" firstDataRow="2" firstDataCol="1"/>
  <pivotFields count="16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 numFmtId="176"/>
    <pivotField dataField="1" compact="0" outline="0" subtotalTop="0" showAll="0" numFmtId="176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TotalBudget" fld="15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D19" firstHeaderRow="1" firstDataRow="2" firstDataCol="1"/>
  <pivotFields count="16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dataField="1" compact="0" outline="0" subtotalTop="0" showAll="0" numFmtId="176"/>
    <pivotField compact="0" outline="0" subtotalTop="0" showAll="0"/>
    <pivotField compact="0" outline="0" subtotalTop="0" showAll="0" numFmtId="176"/>
    <pivotField compact="0" outline="0" subtotalTop="0" showAll="0"/>
    <pivotField compact="0" outline="0" subtotalTop="0" showAll="0" numFmtId="176"/>
    <pivotField compact="0" outline="0" subtotalTop="0" showAll="0" numFmtId="176"/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AdminAmount" fld="10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E29" firstHeaderRow="1" firstDataRow="2" firstDataCol="1"/>
  <pivotFields count="16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76"/>
    <pivotField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/>
    <pivotField dataField="1" compact="0" outline="0" subtotalTop="0" showAll="0" numFmtId="176"/>
    <pivotField compact="0" outline="0" subtotalTop="0" showAll="0"/>
    <pivotField dataField="1" compact="0" outline="0" subtotalTop="0" showAll="0" numFmtId="176"/>
    <pivotField compact="0" outline="0" subtotalTop="0" showAll="0"/>
    <pivotField dataField="1" compact="0" outline="0" subtotalTop="0" showAll="0" numFmtId="176"/>
    <pivotField compact="0" outline="0" subtotalTop="0" showAll="0" numFmtId="176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AdminAmount" fld="10" baseField="0" baseItem="0"/>
    <dataField name="Sum of MarketingAmount" fld="12" baseField="0" baseItem="0"/>
    <dataField name="Sum of DIAmount" fld="14" baseField="0" baseItem="0"/>
    <dataField name="Sum of IncentiveAmount" fld="5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37" firstHeaderRow="1" firstDataRow="2" firstDataCol="1"/>
  <pivotFields count="16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/>
    <pivotField compact="0" outline="0" subtotalTop="0" showAll="0" numFmtId="176"/>
    <pivotField dataField="1" compact="0" outline="0" subtotalTop="0" showAll="0"/>
    <pivotField compact="0" outline="0" subtotalTop="0" showAll="0" numFmtId="176"/>
    <pivotField dataField="1" compact="0" outline="0" subtotalTop="0" showAll="0"/>
    <pivotField compact="0" outline="0" subtotalTop="0" showAll="0" numFmtId="176"/>
    <pivotField compact="0" outline="0" subtotalTop="0" showAll="0" numFmtId="176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AdminFTECount" fld="9" baseField="0" baseItem="0"/>
    <dataField name="Sum of MarketingFTECount" fld="11" baseField="0" baseItem="0"/>
    <dataField name="Sum of DIFTECount" fld="13" baseField="0" baseItem="0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Relationship Id="rId4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39.140625" style="75" customWidth="1"/>
    <col min="2" max="2" width="18.8515625" style="75" customWidth="1"/>
    <col min="3" max="3" width="14.140625" style="75" bestFit="1" customWidth="1"/>
    <col min="4" max="4" width="16.140625" style="75" customWidth="1"/>
    <col min="5" max="5" width="17.140625" style="75" bestFit="1" customWidth="1"/>
    <col min="6" max="6" width="17.140625" style="75" customWidth="1"/>
    <col min="7" max="7" width="19.00390625" style="75" customWidth="1"/>
    <col min="8" max="8" width="24.8515625" style="75" customWidth="1"/>
    <col min="9" max="9" width="19.7109375" style="75" bestFit="1" customWidth="1"/>
    <col min="10" max="11" width="16.8515625" style="75" bestFit="1" customWidth="1"/>
    <col min="12" max="16384" width="8.8515625" style="75" customWidth="1"/>
  </cols>
  <sheetData>
    <row r="1" ht="15.75">
      <c r="A1" s="74" t="s">
        <v>216</v>
      </c>
    </row>
    <row r="2" ht="15.75">
      <c r="A2" s="74" t="s">
        <v>360</v>
      </c>
    </row>
    <row r="3" ht="16.5" thickBot="1"/>
    <row r="4" spans="2:8" ht="15.75">
      <c r="B4" s="76"/>
      <c r="C4" s="77" t="s">
        <v>377</v>
      </c>
      <c r="D4" s="77"/>
      <c r="E4" s="77"/>
      <c r="F4" s="77"/>
      <c r="G4" s="77"/>
      <c r="H4" s="78"/>
    </row>
    <row r="5" spans="2:11" s="83" customFormat="1" ht="31.5">
      <c r="B5" s="79"/>
      <c r="C5" s="80" t="s">
        <v>230</v>
      </c>
      <c r="D5" s="80" t="s">
        <v>231</v>
      </c>
      <c r="E5" s="81" t="s">
        <v>232</v>
      </c>
      <c r="F5" s="80" t="s">
        <v>233</v>
      </c>
      <c r="G5" s="80" t="s">
        <v>234</v>
      </c>
      <c r="H5" s="82" t="s">
        <v>235</v>
      </c>
      <c r="J5" s="83" t="s">
        <v>260</v>
      </c>
      <c r="K5" s="84">
        <v>26003565</v>
      </c>
    </row>
    <row r="6" spans="2:11" ht="15.75">
      <c r="B6" s="85">
        <v>2017</v>
      </c>
      <c r="C6" s="84">
        <f>GETPIVOTDATA("Sum of AdminAmount",'2017 Budget &amp; Savings'!$A$25,"Type","EE")-'2017 Budget &amp; Savings'!B3</f>
        <v>7397942.630000001</v>
      </c>
      <c r="D6" s="84">
        <f>GETPIVOTDATA("Sum of MarketingAmount",'2017 Budget &amp; Savings'!$A$25,"Type","EE")</f>
        <v>3298504.13</v>
      </c>
      <c r="E6" s="84">
        <f>GETPIVOTDATA("Sum of DIAmount",'2017 Budget &amp; Savings'!$A$25,"Type","EE")</f>
        <v>43717973.09000002</v>
      </c>
      <c r="F6" s="84">
        <f>GETPIVOTDATA("Sum of IncentiveAmount",'2017 Budget &amp; Savings'!$A$25,"Type","EE")</f>
        <v>57383580.190000005</v>
      </c>
      <c r="G6" s="84">
        <f>'2017 Budget &amp; Savings'!B3</f>
        <v>4658311</v>
      </c>
      <c r="H6" s="86">
        <f>SUM(C6:G6)</f>
        <v>116456311.04000002</v>
      </c>
      <c r="K6" s="87"/>
    </row>
    <row r="7" spans="2:8" ht="3" customHeight="1">
      <c r="B7" s="85"/>
      <c r="C7" s="88"/>
      <c r="D7" s="88"/>
      <c r="E7" s="88"/>
      <c r="F7" s="88"/>
      <c r="G7" s="88"/>
      <c r="H7" s="89"/>
    </row>
    <row r="8" spans="2:11" ht="31.5">
      <c r="B8" s="85"/>
      <c r="C8" s="81" t="s">
        <v>236</v>
      </c>
      <c r="D8" s="81" t="s">
        <v>237</v>
      </c>
      <c r="E8" s="81" t="s">
        <v>238</v>
      </c>
      <c r="F8" s="81" t="s">
        <v>239</v>
      </c>
      <c r="G8" s="88" t="s">
        <v>240</v>
      </c>
      <c r="H8" s="89" t="s">
        <v>241</v>
      </c>
      <c r="J8" s="75" t="s">
        <v>256</v>
      </c>
      <c r="K8" s="90">
        <f>SUM(C6:G6)</f>
        <v>116456311.04000002</v>
      </c>
    </row>
    <row r="9" spans="2:8" ht="15.75">
      <c r="B9" s="85"/>
      <c r="C9" s="84">
        <f>'FTE Loader Calc'!J7</f>
        <v>2966371.019001849</v>
      </c>
      <c r="D9" s="84">
        <f>'FTE Loader Calc'!B11</f>
        <v>90857.33733826247</v>
      </c>
      <c r="E9" s="84">
        <f>'FTE Loader Calc'!C11</f>
        <v>1072832.2860120153</v>
      </c>
      <c r="F9" s="84">
        <f>H6+C9+D9+E9</f>
        <v>120586371.68235214</v>
      </c>
      <c r="G9" s="84">
        <v>26003565</v>
      </c>
      <c r="H9" s="86">
        <f>F9+G9</f>
        <v>146589936.68235213</v>
      </c>
    </row>
    <row r="10" spans="2:8" ht="3" customHeight="1">
      <c r="B10" s="85"/>
      <c r="C10" s="88"/>
      <c r="D10" s="88"/>
      <c r="E10" s="88"/>
      <c r="F10" s="88"/>
      <c r="G10" s="88"/>
      <c r="H10" s="89"/>
    </row>
    <row r="11" spans="2:9" ht="15.75">
      <c r="B11" s="85"/>
      <c r="C11" s="80" t="s">
        <v>242</v>
      </c>
      <c r="D11" s="80" t="s">
        <v>243</v>
      </c>
      <c r="E11" s="80" t="s">
        <v>244</v>
      </c>
      <c r="F11" s="80" t="s">
        <v>245</v>
      </c>
      <c r="G11" s="80" t="s">
        <v>246</v>
      </c>
      <c r="H11" s="89"/>
      <c r="I11" s="91"/>
    </row>
    <row r="12" spans="2:11" ht="15.75">
      <c r="B12" s="92">
        <v>2017</v>
      </c>
      <c r="C12" s="93">
        <f>(C6+C9)/$H$9</f>
        <v>0.0707027636655607</v>
      </c>
      <c r="D12" s="93">
        <f>(D6+D9)/$H$9</f>
        <v>0.023121378888939143</v>
      </c>
      <c r="E12" s="93">
        <f>(E6+E9)/$H$9</f>
        <v>0.3055517069570054</v>
      </c>
      <c r="F12" s="93">
        <f>(F6+G9)/$H$9</f>
        <v>0.568846314264347</v>
      </c>
      <c r="G12" s="93">
        <f>G6/H6</f>
        <v>0.040000502835780015</v>
      </c>
      <c r="H12" s="89"/>
      <c r="I12" s="91"/>
      <c r="K12" s="87"/>
    </row>
    <row r="13" spans="2:8" ht="15.75" hidden="1">
      <c r="B13" s="85" t="s">
        <v>247</v>
      </c>
      <c r="C13" s="94">
        <v>0.041</v>
      </c>
      <c r="D13" s="94">
        <v>0.047</v>
      </c>
      <c r="E13" s="94">
        <v>0.429</v>
      </c>
      <c r="F13" s="94">
        <v>0.437</v>
      </c>
      <c r="G13" s="94">
        <v>0.047</v>
      </c>
      <c r="H13" s="89"/>
    </row>
    <row r="14" spans="2:11" ht="16.5" thickBot="1">
      <c r="B14" s="95" t="s">
        <v>248</v>
      </c>
      <c r="C14" s="96">
        <v>0.1</v>
      </c>
      <c r="D14" s="96">
        <v>0.06</v>
      </c>
      <c r="E14" s="96">
        <v>0.2</v>
      </c>
      <c r="F14" s="96">
        <f>1-SUM(C14:E14,G14)</f>
        <v>0.6000000000000001</v>
      </c>
      <c r="G14" s="96">
        <v>0.04</v>
      </c>
      <c r="H14" s="97"/>
      <c r="K14" s="98"/>
    </row>
    <row r="15" spans="2:11" ht="6" customHeight="1">
      <c r="B15" s="101"/>
      <c r="C15" s="140"/>
      <c r="D15" s="140"/>
      <c r="E15" s="140"/>
      <c r="F15" s="140"/>
      <c r="G15" s="140"/>
      <c r="H15" s="101"/>
      <c r="K15" s="98"/>
    </row>
    <row r="16" spans="2:10" ht="15.75">
      <c r="B16" s="75" t="s">
        <v>249</v>
      </c>
      <c r="J16" s="99"/>
    </row>
    <row r="17" spans="2:10" ht="15.75">
      <c r="B17" s="75" t="s">
        <v>267</v>
      </c>
      <c r="J17" s="100"/>
    </row>
    <row r="18" spans="2:10" ht="15.75">
      <c r="B18" s="75" t="s">
        <v>376</v>
      </c>
      <c r="J18" s="100"/>
    </row>
    <row r="19" ht="15.75">
      <c r="B19" s="75" t="s">
        <v>250</v>
      </c>
    </row>
    <row r="20" ht="15.75">
      <c r="B20" s="75" t="s">
        <v>266</v>
      </c>
    </row>
    <row r="21" ht="15.75">
      <c r="B21" s="75" t="s">
        <v>251</v>
      </c>
    </row>
    <row r="22" ht="15.75">
      <c r="B22" s="75" t="s">
        <v>252</v>
      </c>
    </row>
    <row r="23" ht="15.75">
      <c r="B23" s="75" t="s">
        <v>361</v>
      </c>
    </row>
    <row r="24" spans="1:2" ht="15.75">
      <c r="A24" s="101"/>
      <c r="B24" s="101"/>
    </row>
  </sheetData>
  <sheetProtection/>
  <printOptions/>
  <pageMargins left="0.75" right="0.75" top="1" bottom="1" header="0.3" footer="0.3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="130" zoomScaleNormal="130" zoomScalePageLayoutView="0" workbookViewId="0" topLeftCell="A1">
      <selection activeCell="G14" sqref="G14"/>
    </sheetView>
  </sheetViews>
  <sheetFormatPr defaultColWidth="8.8515625" defaultRowHeight="15"/>
  <cols>
    <col min="1" max="1" width="11.421875" style="0" bestFit="1" customWidth="1"/>
    <col min="2" max="2" width="12.7109375" style="0" customWidth="1"/>
    <col min="3" max="3" width="16.00390625" style="0" customWidth="1"/>
    <col min="4" max="4" width="22.00390625" style="0" bestFit="1" customWidth="1"/>
    <col min="5" max="5" width="16.8515625" style="0" bestFit="1" customWidth="1"/>
    <col min="6" max="6" width="8.421875" style="0" bestFit="1" customWidth="1"/>
    <col min="7" max="7" width="10.421875" style="0" bestFit="1" customWidth="1"/>
    <col min="8" max="8" width="18.140625" style="0" bestFit="1" customWidth="1"/>
    <col min="9" max="9" width="17.140625" style="0" bestFit="1" customWidth="1"/>
    <col min="10" max="10" width="14.7109375" style="0" bestFit="1" customWidth="1"/>
  </cols>
  <sheetData>
    <row r="2" spans="1:10" ht="15">
      <c r="A2" s="20" t="s">
        <v>216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54" t="s">
        <v>295</v>
      </c>
      <c r="B3" s="21"/>
      <c r="C3" s="21"/>
      <c r="D3" s="21"/>
      <c r="E3" s="21"/>
      <c r="F3" s="21"/>
      <c r="G3" s="21"/>
      <c r="H3" s="21"/>
      <c r="I3" s="21"/>
      <c r="J3" s="21"/>
    </row>
    <row r="6" spans="1:10" ht="15">
      <c r="A6" s="22" t="s">
        <v>217</v>
      </c>
      <c r="B6" s="22" t="s">
        <v>218</v>
      </c>
      <c r="C6" s="22" t="s">
        <v>219</v>
      </c>
      <c r="D6" s="22" t="s">
        <v>220</v>
      </c>
      <c r="E6" s="49" t="s">
        <v>221</v>
      </c>
      <c r="F6" s="49" t="s">
        <v>222</v>
      </c>
      <c r="G6" s="22" t="s">
        <v>187</v>
      </c>
      <c r="H6" s="23" t="s">
        <v>223</v>
      </c>
      <c r="I6" s="22" t="s">
        <v>224</v>
      </c>
      <c r="J6" s="22" t="s">
        <v>225</v>
      </c>
    </row>
    <row r="7" spans="1:10" ht="15">
      <c r="A7" s="48">
        <f>GETPIVOTDATA("Sum of AdminFTECount",'2017 FTE Summary'!$A$9,"Type","EE")</f>
        <v>13.255000000000003</v>
      </c>
      <c r="B7" s="48">
        <f>GETPIVOTDATA("Sum of MarketingFTECount",'2017 FTE Summary'!$A$9,"Type","EE")</f>
        <v>8.243999999999998</v>
      </c>
      <c r="C7" s="48">
        <f>GETPIVOTDATA("Sum of DIFTECount",'2017 FTE Summary'!$A$9,"Type","EE")</f>
        <v>97.34414000000002</v>
      </c>
      <c r="D7" s="48">
        <f>SUM(A7:C7)</f>
        <v>118.84314000000003</v>
      </c>
      <c r="E7" s="22">
        <f>'2017 FTE Summary'!B5</f>
        <v>11.71</v>
      </c>
      <c r="F7" s="22">
        <f>'2017 FTE Summary'!B6</f>
        <v>3.88</v>
      </c>
      <c r="G7" s="28">
        <f>SUM(D7:F7)</f>
        <v>134.43314000000004</v>
      </c>
      <c r="H7" s="29">
        <f>G7*'FTE Loader Calc WP'!E22*1000</f>
        <v>4130060.6423521265</v>
      </c>
      <c r="I7" s="27">
        <f>SUM(B7:C7)*C8</f>
        <v>1163689.6233502778</v>
      </c>
      <c r="J7" s="27">
        <f>H7-I7</f>
        <v>2966371.019001849</v>
      </c>
    </row>
    <row r="8" spans="2:10" ht="45">
      <c r="B8" s="24" t="s">
        <v>226</v>
      </c>
      <c r="C8" s="1">
        <f>'FTE Loader Calc WP'!G10*1000</f>
        <v>11021.025878003698</v>
      </c>
      <c r="J8" s="25"/>
    </row>
    <row r="10" spans="1:4" ht="30">
      <c r="A10" s="22"/>
      <c r="B10" s="26" t="s">
        <v>227</v>
      </c>
      <c r="C10" s="26" t="s">
        <v>228</v>
      </c>
      <c r="D10" s="26" t="s">
        <v>229</v>
      </c>
    </row>
    <row r="11" spans="1:9" ht="15">
      <c r="A11" s="22">
        <v>2017</v>
      </c>
      <c r="B11" s="27">
        <f>B7*C8</f>
        <v>90857.33733826247</v>
      </c>
      <c r="C11" s="27">
        <f>C7*C8</f>
        <v>1072832.2860120153</v>
      </c>
      <c r="D11" s="27">
        <f>SUM(B11:C11)</f>
        <v>1163689.6233502778</v>
      </c>
      <c r="I11" s="44"/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2" sqref="E22"/>
    </sheetView>
  </sheetViews>
  <sheetFormatPr defaultColWidth="8.8515625" defaultRowHeight="15"/>
  <cols>
    <col min="1" max="2" width="4.7109375" style="0" customWidth="1"/>
    <col min="3" max="3" width="22.7109375" style="0" bestFit="1" customWidth="1"/>
    <col min="4" max="4" width="2.7109375" style="0" customWidth="1"/>
    <col min="5" max="5" width="9.421875" style="0" bestFit="1" customWidth="1"/>
    <col min="6" max="6" width="4.7109375" style="0" customWidth="1"/>
    <col min="7" max="7" width="29.8515625" style="0" customWidth="1"/>
  </cols>
  <sheetData>
    <row r="1" spans="1:6" ht="18.75">
      <c r="A1" s="6" t="s">
        <v>193</v>
      </c>
      <c r="B1" s="7"/>
      <c r="C1" s="7"/>
      <c r="D1" s="7"/>
      <c r="E1" s="7"/>
      <c r="F1" s="7"/>
    </row>
    <row r="2" spans="1:6" ht="18.75">
      <c r="A2" s="6" t="s">
        <v>194</v>
      </c>
      <c r="B2" s="7"/>
      <c r="C2" s="7"/>
      <c r="D2" s="7"/>
      <c r="E2" s="7"/>
      <c r="F2" s="7"/>
    </row>
    <row r="4" spans="1:7" ht="15">
      <c r="A4" s="8"/>
      <c r="B4" s="9" t="s">
        <v>195</v>
      </c>
      <c r="C4" s="9"/>
      <c r="E4" s="10" t="s">
        <v>196</v>
      </c>
      <c r="G4" t="s">
        <v>197</v>
      </c>
    </row>
    <row r="5" spans="1:7" ht="15">
      <c r="A5" s="11">
        <v>1</v>
      </c>
      <c r="B5" t="s">
        <v>198</v>
      </c>
      <c r="E5" s="12">
        <v>5097</v>
      </c>
      <c r="G5" s="5">
        <f>E5/$E$20</f>
        <v>1.1776802218114601</v>
      </c>
    </row>
    <row r="6" ht="15">
      <c r="E6" s="30"/>
    </row>
    <row r="7" spans="1:7" ht="15">
      <c r="A7" s="13">
        <f>A5+1</f>
        <v>2</v>
      </c>
      <c r="B7" t="s">
        <v>199</v>
      </c>
      <c r="E7" s="14">
        <v>10602</v>
      </c>
      <c r="G7" s="5">
        <f>E7/$E$20</f>
        <v>2.449630314232902</v>
      </c>
    </row>
    <row r="8" ht="15">
      <c r="E8" s="31"/>
    </row>
    <row r="9" spans="1:7" ht="15">
      <c r="A9" s="13">
        <f>A7+1</f>
        <v>3</v>
      </c>
      <c r="B9" t="s">
        <v>200</v>
      </c>
      <c r="E9" s="14">
        <v>32000</v>
      </c>
      <c r="G9" s="5">
        <f>E9/$E$20</f>
        <v>7.393715341959335</v>
      </c>
    </row>
    <row r="10" spans="3:7" ht="15">
      <c r="C10" t="s">
        <v>201</v>
      </c>
      <c r="E10" s="31"/>
      <c r="G10" s="5">
        <f>SUM(G5:G9)</f>
        <v>11.021025878003698</v>
      </c>
    </row>
    <row r="11" spans="1:5" ht="15">
      <c r="A11" s="13">
        <f>A9+1</f>
        <v>4</v>
      </c>
      <c r="B11" t="s">
        <v>202</v>
      </c>
      <c r="E11" s="31"/>
    </row>
    <row r="12" spans="1:5" ht="15">
      <c r="A12" s="13"/>
      <c r="B12" s="15" t="s">
        <v>203</v>
      </c>
      <c r="C12" t="s">
        <v>204</v>
      </c>
      <c r="E12" s="14">
        <v>0</v>
      </c>
    </row>
    <row r="13" spans="2:5" ht="15">
      <c r="B13" s="15" t="s">
        <v>205</v>
      </c>
      <c r="C13" t="s">
        <v>206</v>
      </c>
      <c r="E13" s="14">
        <v>9550</v>
      </c>
    </row>
    <row r="14" spans="2:5" ht="15">
      <c r="B14" s="15" t="s">
        <v>207</v>
      </c>
      <c r="C14" t="s">
        <v>208</v>
      </c>
      <c r="E14" s="14">
        <v>50000</v>
      </c>
    </row>
    <row r="15" spans="2:5" ht="15">
      <c r="B15" s="16" t="s">
        <v>209</v>
      </c>
      <c r="C15" t="s">
        <v>210</v>
      </c>
      <c r="E15" s="14">
        <v>14287</v>
      </c>
    </row>
    <row r="16" spans="1:5" ht="15">
      <c r="A16" s="8"/>
      <c r="B16" s="17" t="s">
        <v>211</v>
      </c>
      <c r="C16" s="9" t="s">
        <v>212</v>
      </c>
      <c r="E16" s="60">
        <v>11429</v>
      </c>
    </row>
    <row r="17" ht="15">
      <c r="E17" s="14"/>
    </row>
    <row r="18" spans="1:5" ht="15">
      <c r="A18" s="13">
        <f>A11+1</f>
        <v>5</v>
      </c>
      <c r="B18" t="s">
        <v>213</v>
      </c>
      <c r="E18" s="12">
        <f>SUM(E5:E16)</f>
        <v>132965</v>
      </c>
    </row>
    <row r="19" ht="15">
      <c r="E19" s="2"/>
    </row>
    <row r="20" spans="1:5" ht="15">
      <c r="A20" s="13">
        <f>A18+1</f>
        <v>6</v>
      </c>
      <c r="B20" s="9" t="s">
        <v>214</v>
      </c>
      <c r="C20" s="9"/>
      <c r="E20" s="18">
        <v>4328</v>
      </c>
    </row>
    <row r="22" spans="1:5" ht="15">
      <c r="A22" s="13">
        <f>A20+1</f>
        <v>7</v>
      </c>
      <c r="B22" t="s">
        <v>215</v>
      </c>
      <c r="E22" s="19">
        <f>E18/E20</f>
        <v>30.722042513863215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3"/>
  <sheetViews>
    <sheetView zoomScale="85" zoomScaleNormal="85" zoomScalePageLayoutView="0" workbookViewId="0" topLeftCell="A1">
      <selection activeCell="B12" sqref="B12"/>
    </sheetView>
  </sheetViews>
  <sheetFormatPr defaultColWidth="8.8515625" defaultRowHeight="15"/>
  <cols>
    <col min="1" max="1" width="14.8515625" style="0" customWidth="1"/>
    <col min="2" max="2" width="22.140625" style="0" customWidth="1"/>
    <col min="3" max="3" width="25.140625" style="0" customWidth="1"/>
    <col min="4" max="4" width="18.00390625" style="0" customWidth="1"/>
    <col min="5" max="5" width="21.140625" style="0" bestFit="1" customWidth="1"/>
    <col min="6" max="32" width="17.421875" style="0" customWidth="1"/>
    <col min="33" max="33" width="11.140625" style="0" customWidth="1"/>
    <col min="34" max="34" width="24.421875" style="0" customWidth="1"/>
    <col min="35" max="35" width="21.140625" style="0" customWidth="1"/>
    <col min="36" max="36" width="24.421875" style="0" customWidth="1"/>
    <col min="37" max="37" width="21.140625" style="0" customWidth="1"/>
    <col min="38" max="38" width="24.421875" style="0" customWidth="1"/>
    <col min="39" max="39" width="21.140625" style="0" customWidth="1"/>
    <col min="40" max="40" width="24.421875" style="0" customWidth="1"/>
    <col min="41" max="41" width="21.140625" style="0" customWidth="1"/>
    <col min="42" max="42" width="24.421875" style="0" customWidth="1"/>
    <col min="43" max="43" width="21.140625" style="0" customWidth="1"/>
    <col min="44" max="44" width="24.421875" style="0" customWidth="1"/>
    <col min="45" max="45" width="21.140625" style="0" customWidth="1"/>
    <col min="46" max="46" width="24.421875" style="0" customWidth="1"/>
    <col min="47" max="47" width="21.140625" style="0" customWidth="1"/>
    <col min="48" max="48" width="24.421875" style="0" customWidth="1"/>
    <col min="49" max="49" width="21.140625" style="0" customWidth="1"/>
    <col min="50" max="50" width="24.421875" style="0" customWidth="1"/>
    <col min="51" max="51" width="21.140625" style="0" customWidth="1"/>
    <col min="52" max="52" width="24.421875" style="0" customWidth="1"/>
    <col min="53" max="53" width="21.140625" style="0" customWidth="1"/>
    <col min="54" max="54" width="24.421875" style="0" customWidth="1"/>
    <col min="55" max="55" width="21.140625" style="0" customWidth="1"/>
    <col min="56" max="56" width="24.421875" style="0" customWidth="1"/>
    <col min="57" max="57" width="21.140625" style="0" customWidth="1"/>
    <col min="58" max="58" width="24.421875" style="0" customWidth="1"/>
    <col min="59" max="59" width="21.140625" style="0" customWidth="1"/>
    <col min="60" max="60" width="24.421875" style="0" customWidth="1"/>
    <col min="61" max="61" width="21.140625" style="0" customWidth="1"/>
    <col min="62" max="62" width="24.421875" style="0" customWidth="1"/>
    <col min="63" max="63" width="21.140625" style="0" customWidth="1"/>
    <col min="64" max="64" width="24.421875" style="0" customWidth="1"/>
    <col min="65" max="65" width="21.140625" style="0" customWidth="1"/>
    <col min="66" max="66" width="24.421875" style="0" customWidth="1"/>
    <col min="67" max="67" width="21.140625" style="0" customWidth="1"/>
    <col min="68" max="68" width="24.421875" style="0" customWidth="1"/>
    <col min="69" max="69" width="21.140625" style="0" customWidth="1"/>
    <col min="70" max="70" width="24.421875" style="0" customWidth="1"/>
    <col min="71" max="71" width="21.140625" style="0" customWidth="1"/>
    <col min="72" max="72" width="24.421875" style="0" customWidth="1"/>
    <col min="73" max="73" width="21.140625" style="0" customWidth="1"/>
    <col min="74" max="74" width="24.421875" style="0" customWidth="1"/>
    <col min="75" max="75" width="21.140625" style="0" customWidth="1"/>
    <col min="76" max="76" width="24.421875" style="0" customWidth="1"/>
    <col min="77" max="77" width="21.140625" style="0" customWidth="1"/>
    <col min="78" max="78" width="24.421875" style="0" customWidth="1"/>
    <col min="79" max="79" width="21.140625" style="0" customWidth="1"/>
    <col min="80" max="80" width="24.421875" style="0" customWidth="1"/>
    <col min="81" max="81" width="21.140625" style="0" customWidth="1"/>
    <col min="82" max="82" width="24.421875" style="0" customWidth="1"/>
    <col min="83" max="83" width="21.140625" style="0" customWidth="1"/>
    <col min="84" max="84" width="24.421875" style="0" customWidth="1"/>
    <col min="85" max="85" width="21.140625" style="0" customWidth="1"/>
    <col min="86" max="86" width="24.421875" style="0" customWidth="1"/>
    <col min="87" max="87" width="21.140625" style="0" customWidth="1"/>
    <col min="88" max="88" width="24.421875" style="0" customWidth="1"/>
    <col min="89" max="89" width="21.140625" style="0" customWidth="1"/>
    <col min="90" max="90" width="24.421875" style="0" customWidth="1"/>
    <col min="91" max="91" width="21.140625" style="0" customWidth="1"/>
    <col min="92" max="92" width="24.421875" style="0" customWidth="1"/>
    <col min="93" max="93" width="21.140625" style="0" customWidth="1"/>
    <col min="94" max="94" width="24.421875" style="0" customWidth="1"/>
    <col min="95" max="95" width="21.140625" style="0" customWidth="1"/>
    <col min="96" max="96" width="24.421875" style="0" customWidth="1"/>
    <col min="97" max="97" width="21.140625" style="0" customWidth="1"/>
    <col min="98" max="98" width="24.421875" style="0" customWidth="1"/>
    <col min="99" max="99" width="21.140625" style="0" customWidth="1"/>
    <col min="100" max="100" width="24.421875" style="0" customWidth="1"/>
    <col min="101" max="101" width="21.140625" style="0" customWidth="1"/>
    <col min="102" max="102" width="24.421875" style="0" customWidth="1"/>
    <col min="103" max="103" width="21.140625" style="0" customWidth="1"/>
    <col min="104" max="104" width="24.421875" style="0" customWidth="1"/>
    <col min="105" max="105" width="21.140625" style="0" customWidth="1"/>
    <col min="106" max="106" width="24.421875" style="0" customWidth="1"/>
    <col min="107" max="107" width="21.140625" style="0" customWidth="1"/>
    <col min="108" max="108" width="24.421875" style="0" customWidth="1"/>
    <col min="109" max="109" width="21.140625" style="0" customWidth="1"/>
    <col min="110" max="110" width="24.421875" style="0" customWidth="1"/>
    <col min="111" max="111" width="21.140625" style="0" customWidth="1"/>
    <col min="112" max="112" width="24.421875" style="0" customWidth="1"/>
    <col min="113" max="113" width="21.140625" style="0" customWidth="1"/>
    <col min="114" max="114" width="24.421875" style="0" customWidth="1"/>
    <col min="115" max="115" width="21.140625" style="0" customWidth="1"/>
    <col min="116" max="116" width="24.421875" style="0" customWidth="1"/>
    <col min="117" max="117" width="21.140625" style="0" customWidth="1"/>
    <col min="118" max="118" width="24.421875" style="0" customWidth="1"/>
    <col min="119" max="119" width="21.140625" style="0" customWidth="1"/>
    <col min="120" max="120" width="24.421875" style="0" customWidth="1"/>
    <col min="121" max="121" width="21.140625" style="0" customWidth="1"/>
    <col min="122" max="122" width="24.421875" style="0" bestFit="1" customWidth="1"/>
    <col min="123" max="123" width="21.140625" style="0" customWidth="1"/>
    <col min="124" max="124" width="24.421875" style="0" customWidth="1"/>
    <col min="125" max="125" width="21.140625" style="0" customWidth="1"/>
    <col min="126" max="126" width="24.421875" style="0" customWidth="1"/>
    <col min="127" max="127" width="21.140625" style="0" customWidth="1"/>
    <col min="128" max="128" width="24.421875" style="0" customWidth="1"/>
    <col min="129" max="129" width="27.421875" style="0" customWidth="1"/>
    <col min="130" max="130" width="30.7109375" style="0" customWidth="1"/>
    <col min="131" max="131" width="5.8515625" style="0" customWidth="1"/>
    <col min="132" max="132" width="9.421875" style="0" customWidth="1"/>
    <col min="133" max="133" width="11.421875" style="0" customWidth="1"/>
    <col min="134" max="134" width="5.8515625" style="0" customWidth="1"/>
    <col min="135" max="135" width="9.421875" style="0" customWidth="1"/>
    <col min="136" max="136" width="11.421875" style="0" customWidth="1"/>
    <col min="137" max="137" width="5.8515625" style="0" customWidth="1"/>
    <col min="138" max="138" width="11.421875" style="0" customWidth="1"/>
    <col min="139" max="139" width="5.8515625" style="0" customWidth="1"/>
    <col min="140" max="141" width="11.421875" style="0" customWidth="1"/>
    <col min="142" max="142" width="5.8515625" style="0" customWidth="1"/>
    <col min="143" max="143" width="9.421875" style="0" customWidth="1"/>
    <col min="144" max="144" width="11.421875" style="0" customWidth="1"/>
    <col min="145" max="145" width="5.8515625" style="0" customWidth="1"/>
    <col min="146" max="147" width="11.421875" style="0" customWidth="1"/>
    <col min="148" max="148" width="5.8515625" style="0" customWidth="1"/>
    <col min="149" max="149" width="9.421875" style="0" customWidth="1"/>
    <col min="150" max="150" width="11.421875" style="0" customWidth="1"/>
    <col min="151" max="151" width="5.8515625" style="0" customWidth="1"/>
    <col min="152" max="153" width="11.421875" style="0" bestFit="1" customWidth="1"/>
    <col min="154" max="154" width="12.140625" style="0" customWidth="1"/>
    <col min="155" max="155" width="12.421875" style="0" customWidth="1"/>
    <col min="156" max="156" width="17.140625" style="0" bestFit="1" customWidth="1"/>
    <col min="157" max="157" width="11.421875" style="0" customWidth="1"/>
    <col min="158" max="158" width="9.421875" style="0" customWidth="1"/>
    <col min="159" max="159" width="14.421875" style="0" bestFit="1" customWidth="1"/>
    <col min="160" max="160" width="12.421875" style="0" customWidth="1"/>
    <col min="161" max="161" width="17.140625" style="0" bestFit="1" customWidth="1"/>
    <col min="162" max="163" width="11.421875" style="0" customWidth="1"/>
    <col min="164" max="164" width="14.421875" style="0" bestFit="1" customWidth="1"/>
    <col min="165" max="165" width="12.421875" style="0" bestFit="1" customWidth="1"/>
    <col min="166" max="166" width="17.140625" style="0" bestFit="1" customWidth="1"/>
    <col min="167" max="167" width="12.421875" style="0" customWidth="1"/>
    <col min="168" max="168" width="9.421875" style="0" customWidth="1"/>
    <col min="169" max="169" width="14.421875" style="0" customWidth="1"/>
    <col min="170" max="170" width="12.421875" style="0" bestFit="1" customWidth="1"/>
    <col min="171" max="171" width="18.140625" style="0" bestFit="1" customWidth="1"/>
    <col min="172" max="172" width="12.140625" style="0" customWidth="1"/>
    <col min="173" max="173" width="17.140625" style="0" bestFit="1" customWidth="1"/>
    <col min="174" max="174" width="12.421875" style="0" bestFit="1" customWidth="1"/>
    <col min="175" max="175" width="17.140625" style="0" bestFit="1" customWidth="1"/>
    <col min="176" max="176" width="11.421875" style="0" bestFit="1" customWidth="1"/>
    <col min="177" max="177" width="9.421875" style="0" bestFit="1" customWidth="1"/>
    <col min="178" max="178" width="14.421875" style="0" bestFit="1" customWidth="1"/>
    <col min="179" max="179" width="16.140625" style="0" bestFit="1" customWidth="1"/>
    <col min="180" max="180" width="12.421875" style="0" bestFit="1" customWidth="1"/>
    <col min="181" max="181" width="17.140625" style="0" bestFit="1" customWidth="1"/>
    <col min="182" max="183" width="11.421875" style="0" bestFit="1" customWidth="1"/>
    <col min="184" max="184" width="14.421875" style="0" bestFit="1" customWidth="1"/>
    <col min="185" max="185" width="17.140625" style="0" bestFit="1" customWidth="1"/>
    <col min="186" max="186" width="12.421875" style="0" bestFit="1" customWidth="1"/>
    <col min="187" max="187" width="17.140625" style="0" bestFit="1" customWidth="1"/>
    <col min="188" max="188" width="12.421875" style="0" bestFit="1" customWidth="1"/>
    <col min="189" max="189" width="9.421875" style="0" bestFit="1" customWidth="1"/>
    <col min="190" max="190" width="14.421875" style="0" bestFit="1" customWidth="1"/>
    <col min="191" max="191" width="17.140625" style="0" bestFit="1" customWidth="1"/>
    <col min="192" max="192" width="12.421875" style="0" bestFit="1" customWidth="1"/>
    <col min="193" max="193" width="18.140625" style="0" bestFit="1" customWidth="1"/>
    <col min="194" max="194" width="12.140625" style="0" bestFit="1" customWidth="1"/>
  </cols>
  <sheetData>
    <row r="3" ht="15">
      <c r="A3" t="s">
        <v>359</v>
      </c>
    </row>
    <row r="5" spans="1:2" ht="15">
      <c r="A5" s="3" t="s">
        <v>191</v>
      </c>
      <c r="B5">
        <f>6.85+4.86</f>
        <v>11.71</v>
      </c>
    </row>
    <row r="6" spans="1:2" ht="15">
      <c r="A6" s="3" t="s">
        <v>192</v>
      </c>
      <c r="B6" s="53">
        <v>3.88</v>
      </c>
    </row>
    <row r="9" spans="1:6" ht="15">
      <c r="A9" s="34"/>
      <c r="B9" s="37" t="s">
        <v>258</v>
      </c>
      <c r="C9" s="35"/>
      <c r="D9" s="35"/>
      <c r="E9" s="22"/>
      <c r="F9" s="22"/>
    </row>
    <row r="10" spans="1:6" ht="15">
      <c r="A10" s="37" t="s">
        <v>184</v>
      </c>
      <c r="B10" s="34" t="s">
        <v>188</v>
      </c>
      <c r="C10" s="42" t="s">
        <v>189</v>
      </c>
      <c r="D10" s="42" t="s">
        <v>190</v>
      </c>
      <c r="E10" s="47" t="s">
        <v>296</v>
      </c>
      <c r="F10" s="47" t="s">
        <v>292</v>
      </c>
    </row>
    <row r="11" spans="1:6" ht="15">
      <c r="A11" s="34" t="s">
        <v>185</v>
      </c>
      <c r="B11" s="109">
        <v>1.6375000000000002</v>
      </c>
      <c r="C11" s="110">
        <v>2.655</v>
      </c>
      <c r="D11" s="110">
        <v>4.799999999999999</v>
      </c>
      <c r="E11" s="22"/>
      <c r="F11" s="48">
        <f>SUM(B11:E11)</f>
        <v>9.0925</v>
      </c>
    </row>
    <row r="12" spans="1:6" ht="15">
      <c r="A12" s="38" t="s">
        <v>186</v>
      </c>
      <c r="B12" s="111">
        <v>13.255000000000003</v>
      </c>
      <c r="C12" s="112">
        <v>8.243999999999998</v>
      </c>
      <c r="D12" s="132">
        <v>97.34414000000002</v>
      </c>
      <c r="E12" s="48">
        <f>B5+B6</f>
        <v>15.59</v>
      </c>
      <c r="F12" s="48">
        <f>SUM(B12:E12)</f>
        <v>134.43314000000004</v>
      </c>
    </row>
    <row r="13" spans="1:6" ht="15">
      <c r="A13" s="39" t="s">
        <v>187</v>
      </c>
      <c r="B13" s="113">
        <v>14.892500000000002</v>
      </c>
      <c r="C13" s="114">
        <v>10.898999999999997</v>
      </c>
      <c r="D13" s="114">
        <v>102.14414000000002</v>
      </c>
      <c r="E13" s="22"/>
      <c r="F13" s="48">
        <f>SUM(F11:F12)</f>
        <v>143.52564000000004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C28">
      <selection activeCell="E58" sqref="E58"/>
    </sheetView>
  </sheetViews>
  <sheetFormatPr defaultColWidth="8.8515625" defaultRowHeight="15"/>
  <cols>
    <col min="1" max="1" width="11.140625" style="0" customWidth="1"/>
    <col min="2" max="2" width="30.140625" style="0" customWidth="1"/>
    <col min="3" max="3" width="28.140625" style="0" customWidth="1"/>
    <col min="4" max="4" width="29.00390625" style="0" customWidth="1"/>
    <col min="5" max="5" width="23.421875" style="0" bestFit="1" customWidth="1"/>
    <col min="6" max="6" width="18.421875" style="0" customWidth="1"/>
    <col min="7" max="7" width="22.00390625" style="0" customWidth="1"/>
    <col min="8" max="8" width="17.7109375" style="0" customWidth="1"/>
    <col min="9" max="9" width="14.00390625" style="0" customWidth="1"/>
    <col min="10" max="10" width="32.421875" style="0" bestFit="1" customWidth="1"/>
    <col min="11" max="88" width="14.00390625" style="0" customWidth="1"/>
    <col min="89" max="89" width="5.8515625" style="0" customWidth="1"/>
    <col min="90" max="101" width="10.140625" style="0" customWidth="1"/>
    <col min="102" max="102" width="8.00390625" style="0" customWidth="1"/>
    <col min="103" max="103" width="11.140625" style="0" customWidth="1"/>
    <col min="104" max="104" width="16.421875" style="0" bestFit="1" customWidth="1"/>
    <col min="105" max="105" width="11.140625" style="0" bestFit="1" customWidth="1"/>
  </cols>
  <sheetData>
    <row r="3" spans="1:3" ht="15">
      <c r="A3" t="s">
        <v>263</v>
      </c>
      <c r="B3" s="43">
        <f>'2017 Forecast Raw Data'!S76</f>
        <v>4658311</v>
      </c>
      <c r="C3" s="4"/>
    </row>
    <row r="5" ht="15">
      <c r="A5" t="s">
        <v>355</v>
      </c>
    </row>
    <row r="7" spans="1:6" ht="15">
      <c r="A7" s="37" t="s">
        <v>264</v>
      </c>
      <c r="B7" s="37" t="s">
        <v>268</v>
      </c>
      <c r="C7" s="35"/>
      <c r="D7" s="36"/>
      <c r="F7" s="33" t="s">
        <v>353</v>
      </c>
    </row>
    <row r="8" spans="1:9" ht="15">
      <c r="A8" s="37" t="s">
        <v>184</v>
      </c>
      <c r="B8" s="34" t="s">
        <v>261</v>
      </c>
      <c r="C8" s="42" t="s">
        <v>354</v>
      </c>
      <c r="D8" s="40" t="s">
        <v>187</v>
      </c>
      <c r="F8" t="s">
        <v>294</v>
      </c>
      <c r="I8" s="57">
        <f>GETPIVOTDATA("TotalBudget",$A$7,"Type","EE","3PCode","3P")/GETPIVOTDATA("TotalBudget",$A$7,"Type","EE")</f>
        <v>0.21781138966660402</v>
      </c>
    </row>
    <row r="9" spans="1:4" ht="15">
      <c r="A9" s="34" t="s">
        <v>185</v>
      </c>
      <c r="B9" s="115">
        <v>2120301.74</v>
      </c>
      <c r="C9" s="116">
        <v>2519697.34</v>
      </c>
      <c r="D9" s="117">
        <v>4639999.08</v>
      </c>
    </row>
    <row r="10" spans="1:4" ht="15">
      <c r="A10" s="38" t="s">
        <v>186</v>
      </c>
      <c r="B10" s="118">
        <v>25365510.93</v>
      </c>
      <c r="C10" s="4">
        <v>91090800.05000001</v>
      </c>
      <c r="D10" s="119">
        <v>116456310.98000002</v>
      </c>
    </row>
    <row r="11" spans="1:4" ht="15">
      <c r="A11" s="39" t="s">
        <v>187</v>
      </c>
      <c r="B11" s="120">
        <v>27485812.67</v>
      </c>
      <c r="C11" s="121">
        <v>93610497.39000002</v>
      </c>
      <c r="D11" s="122">
        <v>121096310.06000002</v>
      </c>
    </row>
    <row r="13" ht="15">
      <c r="A13" t="s">
        <v>356</v>
      </c>
    </row>
    <row r="15" spans="1:4" ht="15">
      <c r="A15" s="37" t="s">
        <v>253</v>
      </c>
      <c r="B15" s="37" t="s">
        <v>269</v>
      </c>
      <c r="C15" s="35"/>
      <c r="D15" s="36"/>
    </row>
    <row r="16" spans="1:4" ht="15">
      <c r="A16" s="37" t="s">
        <v>184</v>
      </c>
      <c r="B16" s="34" t="s">
        <v>262</v>
      </c>
      <c r="C16" s="42" t="s">
        <v>354</v>
      </c>
      <c r="D16" s="40" t="s">
        <v>187</v>
      </c>
    </row>
    <row r="17" spans="1:4" ht="15">
      <c r="A17" s="34" t="s">
        <v>185</v>
      </c>
      <c r="B17" s="115"/>
      <c r="C17" s="116">
        <v>516872.42</v>
      </c>
      <c r="D17" s="117">
        <v>516872.42</v>
      </c>
    </row>
    <row r="18" spans="1:4" ht="15">
      <c r="A18" s="38" t="s">
        <v>186</v>
      </c>
      <c r="B18" s="118">
        <v>7734332.929999998</v>
      </c>
      <c r="C18" s="4">
        <v>4321920.699999999</v>
      </c>
      <c r="D18" s="119">
        <v>12056253.629999997</v>
      </c>
    </row>
    <row r="19" spans="1:4" ht="15">
      <c r="A19" s="39" t="s">
        <v>187</v>
      </c>
      <c r="B19" s="120">
        <v>7734332.929999998</v>
      </c>
      <c r="C19" s="121">
        <v>4838793.119999999</v>
      </c>
      <c r="D19" s="122">
        <v>12573126.049999997</v>
      </c>
    </row>
    <row r="23" ht="15">
      <c r="A23" t="s">
        <v>357</v>
      </c>
    </row>
    <row r="25" spans="1:5" ht="15">
      <c r="A25" s="34"/>
      <c r="B25" s="37" t="s">
        <v>258</v>
      </c>
      <c r="C25" s="35"/>
      <c r="D25" s="35"/>
      <c r="E25" s="36"/>
    </row>
    <row r="26" spans="1:12" ht="15">
      <c r="A26" s="37" t="s">
        <v>184</v>
      </c>
      <c r="B26" s="34" t="s">
        <v>253</v>
      </c>
      <c r="C26" s="42" t="s">
        <v>254</v>
      </c>
      <c r="D26" s="42" t="s">
        <v>255</v>
      </c>
      <c r="E26" s="41" t="s">
        <v>259</v>
      </c>
      <c r="F26" s="51" t="s">
        <v>316</v>
      </c>
      <c r="G26" s="52" t="s">
        <v>293</v>
      </c>
      <c r="H26" s="52" t="s">
        <v>317</v>
      </c>
      <c r="J26" s="141"/>
      <c r="K26" s="141"/>
      <c r="L26" s="141"/>
    </row>
    <row r="27" spans="1:12" ht="15">
      <c r="A27" s="34" t="s">
        <v>185</v>
      </c>
      <c r="B27" s="115">
        <v>516872.42</v>
      </c>
      <c r="C27" s="116">
        <v>802830.7000000001</v>
      </c>
      <c r="D27" s="116">
        <v>3320295.95</v>
      </c>
      <c r="E27" s="124">
        <v>0</v>
      </c>
      <c r="F27" s="61">
        <f>SUM(B27:E27)</f>
        <v>4639999.07</v>
      </c>
      <c r="G27" s="123">
        <v>4640247</v>
      </c>
      <c r="H27" s="61">
        <f>+F27-G27</f>
        <v>-247.92999999970198</v>
      </c>
      <c r="J27" s="143"/>
      <c r="K27" s="142"/>
      <c r="L27" s="142"/>
    </row>
    <row r="28" spans="1:12" ht="15">
      <c r="A28" s="38" t="s">
        <v>186</v>
      </c>
      <c r="B28" s="118">
        <v>12056253.63</v>
      </c>
      <c r="C28" s="4">
        <v>3298504.13</v>
      </c>
      <c r="D28" s="4">
        <v>43717973.09000002</v>
      </c>
      <c r="E28" s="125">
        <v>57383580.190000005</v>
      </c>
      <c r="F28" s="61">
        <f>SUM(B28:E28)</f>
        <v>116456311.04000002</v>
      </c>
      <c r="G28" s="123">
        <v>116456000</v>
      </c>
      <c r="H28" s="61">
        <f>+F28-G28</f>
        <v>311.0400000214577</v>
      </c>
      <c r="J28" s="143"/>
      <c r="K28" s="142"/>
      <c r="L28" s="142"/>
    </row>
    <row r="29" spans="1:12" ht="15">
      <c r="A29" s="39" t="s">
        <v>187</v>
      </c>
      <c r="B29" s="120">
        <v>12573126.05</v>
      </c>
      <c r="C29" s="121">
        <v>4101334.83</v>
      </c>
      <c r="D29" s="121">
        <v>47038269.04000002</v>
      </c>
      <c r="E29" s="126">
        <v>57383580.190000005</v>
      </c>
      <c r="F29" s="61">
        <f>SUM(B29:E29)</f>
        <v>121096310.11000003</v>
      </c>
      <c r="G29" s="123">
        <v>121096247</v>
      </c>
      <c r="H29" s="61">
        <f>+F29-G29</f>
        <v>63.110000029206276</v>
      </c>
      <c r="J29" s="143"/>
      <c r="K29" s="142"/>
      <c r="L29" s="142"/>
    </row>
    <row r="30" spans="10:12" ht="15">
      <c r="J30" s="143"/>
      <c r="K30" s="142"/>
      <c r="L30" s="142"/>
    </row>
    <row r="32" ht="15">
      <c r="A32" t="s">
        <v>358</v>
      </c>
    </row>
    <row r="33" spans="1:4" ht="15">
      <c r="A33" s="34"/>
      <c r="B33" s="37" t="s">
        <v>258</v>
      </c>
      <c r="C33" s="35"/>
      <c r="D33" s="36"/>
    </row>
    <row r="34" spans="1:4" ht="15">
      <c r="A34" s="37" t="s">
        <v>184</v>
      </c>
      <c r="B34" s="34" t="s">
        <v>188</v>
      </c>
      <c r="C34" s="42" t="s">
        <v>189</v>
      </c>
      <c r="D34" s="41" t="s">
        <v>190</v>
      </c>
    </row>
    <row r="35" spans="1:4" ht="15">
      <c r="A35" s="34" t="s">
        <v>185</v>
      </c>
      <c r="B35" s="127">
        <v>1.6375000000000002</v>
      </c>
      <c r="C35" s="128">
        <v>2.655</v>
      </c>
      <c r="D35" s="129">
        <v>4.799999999999999</v>
      </c>
    </row>
    <row r="36" spans="1:4" ht="15">
      <c r="A36" s="38" t="s">
        <v>186</v>
      </c>
      <c r="B36" s="130">
        <v>13.255000000000003</v>
      </c>
      <c r="C36" s="44">
        <v>8.243999999999998</v>
      </c>
      <c r="D36" s="131">
        <v>97.34414000000002</v>
      </c>
    </row>
    <row r="37" spans="1:4" ht="15">
      <c r="A37" s="39" t="s">
        <v>187</v>
      </c>
      <c r="B37" s="45">
        <v>14.892500000000002</v>
      </c>
      <c r="C37" s="46">
        <v>10.898999999999997</v>
      </c>
      <c r="D37" s="50">
        <v>102.14414000000002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7" sqref="E17"/>
    </sheetView>
  </sheetViews>
  <sheetFormatPr defaultColWidth="8.8515625" defaultRowHeight="15"/>
  <cols>
    <col min="1" max="1" width="8.8515625" style="0" customWidth="1"/>
    <col min="2" max="2" width="7.7109375" style="0" bestFit="1" customWidth="1"/>
    <col min="3" max="3" width="13.7109375" style="0" bestFit="1" customWidth="1"/>
    <col min="4" max="4" width="13.140625" style="0" bestFit="1" customWidth="1"/>
    <col min="5" max="5" width="45.140625" style="0" bestFit="1" customWidth="1"/>
    <col min="6" max="6" width="14.140625" style="0" bestFit="1" customWidth="1"/>
    <col min="7" max="7" width="17.421875" style="0" bestFit="1" customWidth="1"/>
    <col min="8" max="8" width="18.7109375" style="0" customWidth="1"/>
    <col min="9" max="9" width="12.140625" style="0" customWidth="1"/>
  </cols>
  <sheetData>
    <row r="1" ht="15">
      <c r="A1" t="s">
        <v>382</v>
      </c>
    </row>
    <row r="3" spans="1:9" s="32" customFormat="1" ht="30">
      <c r="A3" s="133" t="s">
        <v>184</v>
      </c>
      <c r="B3" s="133" t="s">
        <v>268</v>
      </c>
      <c r="C3" s="133" t="s">
        <v>269</v>
      </c>
      <c r="D3" s="134" t="s">
        <v>0</v>
      </c>
      <c r="E3" s="134" t="s">
        <v>1</v>
      </c>
      <c r="F3" s="135" t="s">
        <v>362</v>
      </c>
      <c r="G3" s="135" t="s">
        <v>363</v>
      </c>
      <c r="H3" s="136" t="s">
        <v>364</v>
      </c>
      <c r="I3" s="135" t="s">
        <v>365</v>
      </c>
    </row>
    <row r="4" spans="1:9" ht="15">
      <c r="A4" s="55" t="s">
        <v>185</v>
      </c>
      <c r="B4" s="55" t="s">
        <v>261</v>
      </c>
      <c r="C4" s="55"/>
      <c r="D4" s="52" t="s">
        <v>144</v>
      </c>
      <c r="E4" s="22" t="s">
        <v>145</v>
      </c>
      <c r="F4" s="137">
        <v>127017.85</v>
      </c>
      <c r="G4" s="137">
        <v>21301.87</v>
      </c>
      <c r="H4" s="137">
        <v>1509784.75</v>
      </c>
      <c r="I4" s="138">
        <v>1658104.48</v>
      </c>
    </row>
    <row r="5" spans="1:9" ht="15">
      <c r="A5" s="55" t="s">
        <v>185</v>
      </c>
      <c r="B5" s="55" t="s">
        <v>261</v>
      </c>
      <c r="C5" s="55"/>
      <c r="D5" s="52" t="s">
        <v>146</v>
      </c>
      <c r="E5" s="22" t="s">
        <v>147</v>
      </c>
      <c r="F5" s="137">
        <v>28460.62</v>
      </c>
      <c r="G5" s="137">
        <v>12220.75</v>
      </c>
      <c r="H5" s="137">
        <v>206715.23</v>
      </c>
      <c r="I5" s="138">
        <v>247396.6</v>
      </c>
    </row>
    <row r="6" spans="1:9" ht="15">
      <c r="A6" s="55" t="s">
        <v>185</v>
      </c>
      <c r="B6" s="55" t="s">
        <v>261</v>
      </c>
      <c r="C6" s="55"/>
      <c r="D6" s="52" t="s">
        <v>148</v>
      </c>
      <c r="E6" s="22" t="s">
        <v>149</v>
      </c>
      <c r="F6" s="137">
        <v>23452.09</v>
      </c>
      <c r="G6" s="137">
        <v>7650.94</v>
      </c>
      <c r="H6" s="137">
        <v>183697.63</v>
      </c>
      <c r="I6" s="138">
        <v>214800.66</v>
      </c>
    </row>
    <row r="7" spans="1:9" ht="15">
      <c r="A7" s="55" t="s">
        <v>185</v>
      </c>
      <c r="B7" s="55"/>
      <c r="C7" s="55"/>
      <c r="D7" s="52" t="s">
        <v>150</v>
      </c>
      <c r="E7" s="22" t="s">
        <v>151</v>
      </c>
      <c r="F7" s="137">
        <v>113839.16</v>
      </c>
      <c r="G7" s="137">
        <v>753722.81</v>
      </c>
      <c r="H7" s="137">
        <v>43152.85</v>
      </c>
      <c r="I7" s="138">
        <v>910714.82</v>
      </c>
    </row>
    <row r="8" spans="1:9" ht="15">
      <c r="A8" s="55" t="s">
        <v>185</v>
      </c>
      <c r="B8" s="55"/>
      <c r="C8" s="55"/>
      <c r="D8" s="52" t="s">
        <v>164</v>
      </c>
      <c r="E8" s="22" t="s">
        <v>165</v>
      </c>
      <c r="F8" s="137">
        <v>224102.7</v>
      </c>
      <c r="G8" s="137">
        <v>7934.33</v>
      </c>
      <c r="H8" s="137">
        <v>1376945.49</v>
      </c>
      <c r="I8" s="138">
        <v>1608982.52</v>
      </c>
    </row>
    <row r="9" spans="4:9" ht="15">
      <c r="D9" s="22"/>
      <c r="E9" s="62" t="s">
        <v>366</v>
      </c>
      <c r="F9" s="139">
        <f>SUM(F4:F8)</f>
        <v>516872.42</v>
      </c>
      <c r="G9" s="139">
        <f>SUM(G4:G8)</f>
        <v>802830.7000000001</v>
      </c>
      <c r="H9" s="139">
        <f>SUM(H4:H8)</f>
        <v>3320295.95</v>
      </c>
      <c r="I9" s="139">
        <f>SUM(I4:I8)</f>
        <v>4639999.08</v>
      </c>
    </row>
  </sheetData>
  <sheetProtection/>
  <printOptions/>
  <pageMargins left="0.75" right="0.75" top="1" bottom="1" header="0.3" footer="0.3"/>
  <pageSetup orientation="portrait" paperSize="3"/>
  <ignoredErrors>
    <ignoredError sqref="D4:D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108"/>
  <sheetViews>
    <sheetView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6" sqref="A76:IV76"/>
    </sheetView>
  </sheetViews>
  <sheetFormatPr defaultColWidth="8.8515625" defaultRowHeight="15"/>
  <cols>
    <col min="1" max="1" width="5.140625" style="0" bestFit="1" customWidth="1"/>
    <col min="2" max="2" width="7.7109375" style="0" customWidth="1"/>
    <col min="3" max="3" width="13.7109375" style="0" customWidth="1"/>
    <col min="4" max="4" width="13.7109375" style="33" customWidth="1"/>
    <col min="5" max="5" width="13.140625" style="0" customWidth="1"/>
    <col min="6" max="7" width="15.7109375" style="33" customWidth="1"/>
    <col min="8" max="8" width="60.140625" style="0" bestFit="1" customWidth="1"/>
    <col min="9" max="9" width="16.421875" style="0" bestFit="1" customWidth="1"/>
    <col min="10" max="10" width="22.421875" style="0" bestFit="1" customWidth="1"/>
    <col min="11" max="11" width="23.7109375" style="0" bestFit="1" customWidth="1"/>
    <col min="12" max="12" width="21.7109375" style="0" bestFit="1" customWidth="1"/>
    <col min="13" max="13" width="15.140625" style="0" bestFit="1" customWidth="1"/>
    <col min="14" max="14" width="14.140625" style="0" bestFit="1" customWidth="1"/>
    <col min="15" max="15" width="18.7109375" style="0" bestFit="1" customWidth="1"/>
    <col min="16" max="16" width="17.421875" style="0" bestFit="1" customWidth="1"/>
    <col min="17" max="17" width="11.140625" style="0" bestFit="1" customWidth="1"/>
    <col min="18" max="18" width="10.140625" style="0" bestFit="1" customWidth="1"/>
    <col min="19" max="19" width="11.7109375" style="0" bestFit="1" customWidth="1"/>
    <col min="20" max="20" width="16.421875" style="0" bestFit="1" customWidth="1"/>
  </cols>
  <sheetData>
    <row r="1" spans="1:20" ht="15">
      <c r="A1" s="104" t="s">
        <v>184</v>
      </c>
      <c r="B1" s="104" t="s">
        <v>268</v>
      </c>
      <c r="C1" s="104" t="s">
        <v>269</v>
      </c>
      <c r="D1" s="104" t="s">
        <v>378</v>
      </c>
      <c r="E1" s="104" t="s">
        <v>0</v>
      </c>
      <c r="F1" s="104" t="s">
        <v>326</v>
      </c>
      <c r="G1" s="104" t="s">
        <v>373</v>
      </c>
      <c r="H1" s="104" t="s">
        <v>1</v>
      </c>
      <c r="I1" s="105" t="s">
        <v>2</v>
      </c>
      <c r="J1" s="106" t="s">
        <v>297</v>
      </c>
      <c r="K1" s="106" t="s">
        <v>298</v>
      </c>
      <c r="L1" s="106" t="s">
        <v>299</v>
      </c>
      <c r="M1" s="104" t="s">
        <v>3</v>
      </c>
      <c r="N1" s="105" t="s">
        <v>4</v>
      </c>
      <c r="O1" s="104" t="s">
        <v>5</v>
      </c>
      <c r="P1" s="105" t="s">
        <v>6</v>
      </c>
      <c r="Q1" s="104" t="s">
        <v>7</v>
      </c>
      <c r="R1" s="105" t="s">
        <v>8</v>
      </c>
      <c r="S1" s="105" t="s">
        <v>182</v>
      </c>
      <c r="T1" s="107" t="s">
        <v>183</v>
      </c>
    </row>
    <row r="2" spans="1:20" ht="15">
      <c r="A2" s="55" t="s">
        <v>185</v>
      </c>
      <c r="B2" s="55" t="s">
        <v>261</v>
      </c>
      <c r="C2" s="55"/>
      <c r="D2" s="55"/>
      <c r="E2" s="55" t="s">
        <v>144</v>
      </c>
      <c r="F2" s="55" t="s">
        <v>343</v>
      </c>
      <c r="G2" s="55" t="s">
        <v>374</v>
      </c>
      <c r="H2" s="33" t="s">
        <v>145</v>
      </c>
      <c r="I2" s="56">
        <v>0</v>
      </c>
      <c r="J2" s="108">
        <v>0</v>
      </c>
      <c r="K2" s="108">
        <v>0</v>
      </c>
      <c r="L2" s="108">
        <v>0</v>
      </c>
      <c r="M2" s="33">
        <v>0.2</v>
      </c>
      <c r="N2" s="58">
        <v>127017.85</v>
      </c>
      <c r="O2" s="33">
        <v>0.1</v>
      </c>
      <c r="P2" s="58">
        <v>21301.87</v>
      </c>
      <c r="Q2" s="33">
        <v>2.7</v>
      </c>
      <c r="R2" s="58">
        <v>1509784.75</v>
      </c>
      <c r="S2" s="56">
        <v>1658104.48</v>
      </c>
      <c r="T2" s="59">
        <v>42598.8775275116</v>
      </c>
    </row>
    <row r="3" spans="1:20" ht="15">
      <c r="A3" s="55" t="s">
        <v>185</v>
      </c>
      <c r="B3" s="55" t="s">
        <v>261</v>
      </c>
      <c r="C3" s="55"/>
      <c r="D3" s="55"/>
      <c r="E3" s="55" t="s">
        <v>146</v>
      </c>
      <c r="F3" s="55" t="s">
        <v>328</v>
      </c>
      <c r="G3" s="55" t="s">
        <v>374</v>
      </c>
      <c r="H3" s="33" t="s">
        <v>147</v>
      </c>
      <c r="I3" s="56">
        <v>0</v>
      </c>
      <c r="J3" s="108">
        <v>0</v>
      </c>
      <c r="K3" s="108">
        <v>0</v>
      </c>
      <c r="L3" s="108">
        <v>0</v>
      </c>
      <c r="M3" s="33">
        <v>0.05</v>
      </c>
      <c r="N3" s="58">
        <v>28460.62</v>
      </c>
      <c r="O3" s="33">
        <v>0.04</v>
      </c>
      <c r="P3" s="58">
        <v>12220.75</v>
      </c>
      <c r="Q3" s="33">
        <v>0.57</v>
      </c>
      <c r="R3" s="58">
        <v>206715.23</v>
      </c>
      <c r="S3" s="56">
        <v>247396.6</v>
      </c>
      <c r="T3" s="59">
        <v>42598.8775275116</v>
      </c>
    </row>
    <row r="4" spans="1:20" ht="15">
      <c r="A4" s="55" t="s">
        <v>185</v>
      </c>
      <c r="B4" s="55" t="s">
        <v>261</v>
      </c>
      <c r="C4" s="55"/>
      <c r="D4" s="55"/>
      <c r="E4" s="55" t="s">
        <v>148</v>
      </c>
      <c r="F4" s="55" t="s">
        <v>329</v>
      </c>
      <c r="G4" s="55" t="s">
        <v>374</v>
      </c>
      <c r="H4" s="33" t="s">
        <v>149</v>
      </c>
      <c r="I4" s="56">
        <v>0</v>
      </c>
      <c r="J4" s="108">
        <v>0</v>
      </c>
      <c r="K4" s="108">
        <v>0</v>
      </c>
      <c r="L4" s="108">
        <v>0</v>
      </c>
      <c r="M4" s="33">
        <v>0.03</v>
      </c>
      <c r="N4" s="58">
        <v>23452.09</v>
      </c>
      <c r="O4" s="33">
        <v>0.05</v>
      </c>
      <c r="P4" s="58">
        <v>7650.94</v>
      </c>
      <c r="Q4" s="33">
        <v>0.75</v>
      </c>
      <c r="R4" s="58">
        <v>183697.63</v>
      </c>
      <c r="S4" s="56">
        <v>214800.66</v>
      </c>
      <c r="T4" s="59">
        <v>42598.8775275116</v>
      </c>
    </row>
    <row r="5" spans="1:20" ht="15">
      <c r="A5" s="55" t="s">
        <v>185</v>
      </c>
      <c r="B5" s="55"/>
      <c r="C5" s="55"/>
      <c r="D5" s="55"/>
      <c r="E5" s="55" t="s">
        <v>150</v>
      </c>
      <c r="F5" s="55" t="s">
        <v>367</v>
      </c>
      <c r="G5" s="55" t="s">
        <v>374</v>
      </c>
      <c r="H5" s="33" t="s">
        <v>151</v>
      </c>
      <c r="I5" s="56">
        <v>0</v>
      </c>
      <c r="J5" s="108">
        <v>0</v>
      </c>
      <c r="K5" s="108">
        <v>0</v>
      </c>
      <c r="L5" s="108">
        <v>0</v>
      </c>
      <c r="M5" s="33">
        <v>0.3</v>
      </c>
      <c r="N5" s="58">
        <v>113839.16</v>
      </c>
      <c r="O5" s="33">
        <v>2.4</v>
      </c>
      <c r="P5" s="58">
        <v>753722.81</v>
      </c>
      <c r="Q5" s="33">
        <v>0.3</v>
      </c>
      <c r="R5" s="58">
        <v>43152.85</v>
      </c>
      <c r="S5" s="56">
        <v>910714.82</v>
      </c>
      <c r="T5" s="59">
        <v>42598.8775275116</v>
      </c>
    </row>
    <row r="6" spans="1:20" ht="15">
      <c r="A6" s="55" t="s">
        <v>185</v>
      </c>
      <c r="B6" s="55"/>
      <c r="C6" s="55"/>
      <c r="D6" s="55"/>
      <c r="E6" s="55" t="s">
        <v>164</v>
      </c>
      <c r="F6" s="55" t="s">
        <v>367</v>
      </c>
      <c r="G6" s="55" t="s">
        <v>374</v>
      </c>
      <c r="H6" s="33" t="s">
        <v>165</v>
      </c>
      <c r="I6" s="56">
        <v>0</v>
      </c>
      <c r="J6" s="108">
        <v>0</v>
      </c>
      <c r="K6" s="108">
        <v>0</v>
      </c>
      <c r="L6" s="108">
        <v>0</v>
      </c>
      <c r="M6" s="33">
        <v>1.0575</v>
      </c>
      <c r="N6" s="58">
        <v>224102.7</v>
      </c>
      <c r="O6" s="33">
        <v>0.065</v>
      </c>
      <c r="P6" s="58">
        <v>7934.33</v>
      </c>
      <c r="Q6" s="33">
        <v>0.48</v>
      </c>
      <c r="R6" s="58">
        <v>1376945.49</v>
      </c>
      <c r="S6" s="56">
        <v>1608982.52</v>
      </c>
      <c r="T6" s="59">
        <v>42598.8775275116</v>
      </c>
    </row>
    <row r="7" spans="1:20" ht="15">
      <c r="A7" s="55" t="s">
        <v>186</v>
      </c>
      <c r="B7" s="55"/>
      <c r="C7" s="55" t="s">
        <v>262</v>
      </c>
      <c r="D7" s="55"/>
      <c r="E7" s="55" t="s">
        <v>9</v>
      </c>
      <c r="F7" s="55" t="s">
        <v>327</v>
      </c>
      <c r="G7" s="55" t="s">
        <v>374</v>
      </c>
      <c r="H7" s="33" t="s">
        <v>10</v>
      </c>
      <c r="I7" s="56">
        <v>0</v>
      </c>
      <c r="J7" s="108">
        <v>0</v>
      </c>
      <c r="K7" s="108">
        <v>0</v>
      </c>
      <c r="L7" s="108">
        <v>0</v>
      </c>
      <c r="M7" s="33">
        <v>0.01</v>
      </c>
      <c r="N7" s="58">
        <v>23419.92</v>
      </c>
      <c r="O7" s="33">
        <v>0.1</v>
      </c>
      <c r="P7" s="58">
        <v>162206.66</v>
      </c>
      <c r="Q7" s="33">
        <v>0.71</v>
      </c>
      <c r="R7" s="58">
        <v>174464.18</v>
      </c>
      <c r="S7" s="56">
        <v>360090.76</v>
      </c>
      <c r="T7" s="59">
        <v>42598.8775275116</v>
      </c>
    </row>
    <row r="8" spans="1:20" ht="15">
      <c r="A8" s="55" t="s">
        <v>186</v>
      </c>
      <c r="B8" s="55"/>
      <c r="C8" s="55"/>
      <c r="D8" s="55"/>
      <c r="E8" s="55" t="s">
        <v>11</v>
      </c>
      <c r="F8" s="55" t="s">
        <v>327</v>
      </c>
      <c r="G8" s="55" t="s">
        <v>375</v>
      </c>
      <c r="H8" s="33" t="s">
        <v>12</v>
      </c>
      <c r="I8" s="56">
        <v>4305000</v>
      </c>
      <c r="J8" s="108">
        <v>1306.1</v>
      </c>
      <c r="K8" s="108">
        <v>8693393</v>
      </c>
      <c r="L8" s="108">
        <v>666303</v>
      </c>
      <c r="M8" s="33">
        <v>0</v>
      </c>
      <c r="N8" s="58">
        <v>241014.36</v>
      </c>
      <c r="O8" s="33">
        <v>0.5</v>
      </c>
      <c r="P8" s="58">
        <v>72512.49</v>
      </c>
      <c r="Q8" s="33">
        <v>3.04</v>
      </c>
      <c r="R8" s="58">
        <v>1398641.43</v>
      </c>
      <c r="S8" s="56">
        <v>6017168.27</v>
      </c>
      <c r="T8" s="59">
        <v>42598.8775275116</v>
      </c>
    </row>
    <row r="9" spans="1:20" ht="15">
      <c r="A9" s="55" t="s">
        <v>186</v>
      </c>
      <c r="B9" s="55"/>
      <c r="C9" s="55"/>
      <c r="D9" s="55"/>
      <c r="E9" s="55" t="s">
        <v>270</v>
      </c>
      <c r="F9" s="55" t="s">
        <v>327</v>
      </c>
      <c r="G9" s="55" t="s">
        <v>374</v>
      </c>
      <c r="H9" s="33" t="s">
        <v>271</v>
      </c>
      <c r="I9" s="56">
        <v>0</v>
      </c>
      <c r="J9" s="108">
        <v>0</v>
      </c>
      <c r="K9" s="108">
        <v>0</v>
      </c>
      <c r="L9" s="108">
        <v>0</v>
      </c>
      <c r="M9" s="33">
        <v>0.2</v>
      </c>
      <c r="N9" s="58">
        <v>22602.16</v>
      </c>
      <c r="O9" s="33">
        <v>0.05</v>
      </c>
      <c r="P9" s="58">
        <v>20374.69</v>
      </c>
      <c r="Q9" s="33">
        <v>0.27</v>
      </c>
      <c r="R9" s="58">
        <v>110747.58</v>
      </c>
      <c r="S9" s="56">
        <v>153724.43</v>
      </c>
      <c r="T9" s="59">
        <v>42598.8775275116</v>
      </c>
    </row>
    <row r="10" spans="1:20" ht="15">
      <c r="A10" s="55" t="s">
        <v>186</v>
      </c>
      <c r="B10" s="55"/>
      <c r="C10" s="55"/>
      <c r="D10" s="55" t="s">
        <v>379</v>
      </c>
      <c r="E10" s="55" t="s">
        <v>13</v>
      </c>
      <c r="F10" s="55" t="s">
        <v>327</v>
      </c>
      <c r="G10" s="55" t="s">
        <v>375</v>
      </c>
      <c r="H10" s="33" t="s">
        <v>14</v>
      </c>
      <c r="I10" s="56">
        <v>562500</v>
      </c>
      <c r="J10" s="108">
        <v>46.8</v>
      </c>
      <c r="K10" s="108">
        <v>1429947</v>
      </c>
      <c r="L10" s="108">
        <v>44531</v>
      </c>
      <c r="M10" s="33">
        <v>0.3</v>
      </c>
      <c r="N10" s="58">
        <v>48550.63</v>
      </c>
      <c r="O10" s="33">
        <v>0</v>
      </c>
      <c r="P10" s="58">
        <v>0</v>
      </c>
      <c r="Q10" s="33">
        <v>0.12</v>
      </c>
      <c r="R10" s="58">
        <v>14460.78</v>
      </c>
      <c r="S10" s="56">
        <v>625511.42</v>
      </c>
      <c r="T10" s="59">
        <v>42598.8775275116</v>
      </c>
    </row>
    <row r="11" spans="1:20" ht="15">
      <c r="A11" s="55" t="s">
        <v>186</v>
      </c>
      <c r="B11" s="55"/>
      <c r="C11" s="55"/>
      <c r="D11" s="55"/>
      <c r="E11" s="55" t="s">
        <v>15</v>
      </c>
      <c r="F11" s="55" t="s">
        <v>327</v>
      </c>
      <c r="G11" s="55" t="s">
        <v>375</v>
      </c>
      <c r="H11" s="33" t="s">
        <v>16</v>
      </c>
      <c r="I11" s="56">
        <v>2959999.87</v>
      </c>
      <c r="J11" s="108">
        <v>936.8</v>
      </c>
      <c r="K11" s="108">
        <v>5657006</v>
      </c>
      <c r="L11" s="108">
        <v>-18371</v>
      </c>
      <c r="M11" s="33">
        <v>0</v>
      </c>
      <c r="N11" s="58">
        <v>270029.93</v>
      </c>
      <c r="O11" s="33">
        <v>0</v>
      </c>
      <c r="P11" s="58">
        <v>84000</v>
      </c>
      <c r="Q11" s="33">
        <v>0.92</v>
      </c>
      <c r="R11" s="58">
        <v>86819.79</v>
      </c>
      <c r="S11" s="56">
        <v>3400849.6</v>
      </c>
      <c r="T11" s="59">
        <v>42598.8775275116</v>
      </c>
    </row>
    <row r="12" spans="1:20" ht="15">
      <c r="A12" s="55" t="s">
        <v>186</v>
      </c>
      <c r="B12" s="55"/>
      <c r="C12" s="55"/>
      <c r="D12" s="55"/>
      <c r="E12" s="55" t="s">
        <v>17</v>
      </c>
      <c r="F12" s="55" t="s">
        <v>327</v>
      </c>
      <c r="G12" s="55" t="s">
        <v>375</v>
      </c>
      <c r="H12" s="33" t="s">
        <v>18</v>
      </c>
      <c r="I12" s="56">
        <v>2257028.92</v>
      </c>
      <c r="J12" s="108">
        <v>2031</v>
      </c>
      <c r="K12" s="108">
        <v>1122148</v>
      </c>
      <c r="L12" s="108">
        <v>50317</v>
      </c>
      <c r="M12" s="33">
        <v>0</v>
      </c>
      <c r="N12" s="58">
        <v>152968.73</v>
      </c>
      <c r="O12" s="33">
        <v>0</v>
      </c>
      <c r="P12" s="58">
        <v>204000</v>
      </c>
      <c r="Q12" s="33">
        <v>1.42</v>
      </c>
      <c r="R12" s="58">
        <v>1113982.7</v>
      </c>
      <c r="S12" s="56">
        <v>3727980.35</v>
      </c>
      <c r="T12" s="59">
        <v>42598.8775275116</v>
      </c>
    </row>
    <row r="13" spans="1:20" ht="15">
      <c r="A13" s="55" t="s">
        <v>186</v>
      </c>
      <c r="B13" s="55" t="s">
        <v>261</v>
      </c>
      <c r="C13" s="55" t="s">
        <v>262</v>
      </c>
      <c r="D13" s="55"/>
      <c r="E13" s="55" t="s">
        <v>19</v>
      </c>
      <c r="F13" s="55" t="s">
        <v>327</v>
      </c>
      <c r="G13" s="55" t="s">
        <v>375</v>
      </c>
      <c r="H13" s="33" t="s">
        <v>20</v>
      </c>
      <c r="I13" s="56">
        <v>310501.3</v>
      </c>
      <c r="J13" s="108">
        <v>11.5</v>
      </c>
      <c r="K13" s="108">
        <v>63322</v>
      </c>
      <c r="L13" s="108">
        <v>6159</v>
      </c>
      <c r="M13" s="33">
        <v>0</v>
      </c>
      <c r="N13" s="58">
        <v>90500</v>
      </c>
      <c r="O13" s="33">
        <v>0</v>
      </c>
      <c r="P13" s="58">
        <v>49000</v>
      </c>
      <c r="Q13" s="33">
        <v>0</v>
      </c>
      <c r="R13" s="58">
        <v>0</v>
      </c>
      <c r="S13" s="56">
        <v>450001.3</v>
      </c>
      <c r="T13" s="59">
        <v>42598.8775275116</v>
      </c>
    </row>
    <row r="14" spans="1:20" ht="15">
      <c r="A14" s="55" t="s">
        <v>186</v>
      </c>
      <c r="B14" s="55"/>
      <c r="C14" s="55"/>
      <c r="D14" s="55"/>
      <c r="E14" s="55" t="s">
        <v>21</v>
      </c>
      <c r="F14" s="55" t="s">
        <v>327</v>
      </c>
      <c r="G14" s="55" t="s">
        <v>375</v>
      </c>
      <c r="H14" s="33" t="s">
        <v>22</v>
      </c>
      <c r="I14" s="56">
        <v>0</v>
      </c>
      <c r="J14" s="108">
        <v>0</v>
      </c>
      <c r="K14" s="108">
        <v>0</v>
      </c>
      <c r="L14" s="108">
        <v>0</v>
      </c>
      <c r="M14" s="33">
        <v>0</v>
      </c>
      <c r="N14" s="58">
        <v>14098.74</v>
      </c>
      <c r="O14" s="33">
        <v>0</v>
      </c>
      <c r="P14" s="58">
        <v>2600</v>
      </c>
      <c r="Q14" s="33">
        <v>0.9</v>
      </c>
      <c r="R14" s="58">
        <v>83831.75</v>
      </c>
      <c r="S14" s="56">
        <v>100530.49</v>
      </c>
      <c r="T14" s="59">
        <v>42598.8775275116</v>
      </c>
    </row>
    <row r="15" spans="1:20" ht="15">
      <c r="A15" s="55" t="s">
        <v>186</v>
      </c>
      <c r="B15" s="55" t="s">
        <v>261</v>
      </c>
      <c r="C15" s="55" t="s">
        <v>262</v>
      </c>
      <c r="D15" s="55" t="s">
        <v>379</v>
      </c>
      <c r="E15" s="55" t="s">
        <v>23</v>
      </c>
      <c r="F15" s="55" t="s">
        <v>327</v>
      </c>
      <c r="G15" s="55" t="s">
        <v>375</v>
      </c>
      <c r="H15" s="33" t="s">
        <v>24</v>
      </c>
      <c r="I15" s="56">
        <v>214400</v>
      </c>
      <c r="J15" s="108">
        <v>27.9</v>
      </c>
      <c r="K15" s="108">
        <v>57464</v>
      </c>
      <c r="L15" s="108">
        <v>504</v>
      </c>
      <c r="M15" s="33">
        <v>0</v>
      </c>
      <c r="N15" s="58">
        <v>31371.2</v>
      </c>
      <c r="O15" s="33">
        <v>0</v>
      </c>
      <c r="P15" s="58">
        <v>20768</v>
      </c>
      <c r="Q15" s="33">
        <v>0</v>
      </c>
      <c r="R15" s="58">
        <v>183386.4</v>
      </c>
      <c r="S15" s="56">
        <v>449925.6</v>
      </c>
      <c r="T15" s="59">
        <v>42598.8775275116</v>
      </c>
    </row>
    <row r="16" spans="1:20" ht="15">
      <c r="A16" s="55" t="s">
        <v>186</v>
      </c>
      <c r="B16" s="55"/>
      <c r="C16" s="55"/>
      <c r="D16" s="55" t="s">
        <v>379</v>
      </c>
      <c r="E16" s="55" t="s">
        <v>25</v>
      </c>
      <c r="F16" s="55" t="s">
        <v>327</v>
      </c>
      <c r="G16" s="55" t="s">
        <v>375</v>
      </c>
      <c r="H16" s="33" t="s">
        <v>26</v>
      </c>
      <c r="I16" s="56">
        <v>0</v>
      </c>
      <c r="J16" s="108">
        <v>0</v>
      </c>
      <c r="K16" s="108">
        <v>0</v>
      </c>
      <c r="L16" s="108">
        <v>0</v>
      </c>
      <c r="M16" s="33">
        <v>0</v>
      </c>
      <c r="N16" s="58">
        <v>10370.75</v>
      </c>
      <c r="O16" s="33">
        <v>0</v>
      </c>
      <c r="P16" s="58">
        <v>0</v>
      </c>
      <c r="Q16" s="33">
        <v>0.46</v>
      </c>
      <c r="R16" s="58">
        <v>41345.79</v>
      </c>
      <c r="S16" s="56">
        <v>51716.54</v>
      </c>
      <c r="T16" s="59">
        <v>42598.8775275116</v>
      </c>
    </row>
    <row r="17" spans="1:20" ht="15">
      <c r="A17" s="55" t="s">
        <v>186</v>
      </c>
      <c r="B17" s="55"/>
      <c r="C17" s="55"/>
      <c r="D17" s="55" t="s">
        <v>379</v>
      </c>
      <c r="E17" s="55" t="s">
        <v>27</v>
      </c>
      <c r="F17" s="55" t="s">
        <v>327</v>
      </c>
      <c r="G17" s="55" t="s">
        <v>375</v>
      </c>
      <c r="H17" s="33" t="s">
        <v>28</v>
      </c>
      <c r="I17" s="56">
        <v>1227258.13</v>
      </c>
      <c r="J17" s="108">
        <v>390.9</v>
      </c>
      <c r="K17" s="108">
        <v>178112</v>
      </c>
      <c r="L17" s="108">
        <v>73922</v>
      </c>
      <c r="M17" s="33">
        <v>0</v>
      </c>
      <c r="N17" s="58">
        <v>99490.65</v>
      </c>
      <c r="O17" s="33">
        <v>0.1</v>
      </c>
      <c r="P17" s="58">
        <v>21301.87</v>
      </c>
      <c r="Q17" s="33">
        <v>2.88</v>
      </c>
      <c r="R17" s="58">
        <v>364466.57</v>
      </c>
      <c r="S17" s="56">
        <v>1712517.22</v>
      </c>
      <c r="T17" s="59">
        <v>42598.8775275116</v>
      </c>
    </row>
    <row r="18" spans="1:20" ht="15">
      <c r="A18" s="55" t="s">
        <v>186</v>
      </c>
      <c r="B18" s="55"/>
      <c r="C18" s="55" t="s">
        <v>262</v>
      </c>
      <c r="D18" s="55"/>
      <c r="E18" s="55" t="s">
        <v>29</v>
      </c>
      <c r="F18" s="55" t="s">
        <v>343</v>
      </c>
      <c r="G18" s="55" t="s">
        <v>374</v>
      </c>
      <c r="H18" s="33" t="s">
        <v>300</v>
      </c>
      <c r="I18" s="56">
        <v>0</v>
      </c>
      <c r="J18" s="108">
        <v>0</v>
      </c>
      <c r="K18" s="108">
        <v>0</v>
      </c>
      <c r="L18" s="108">
        <v>0</v>
      </c>
      <c r="M18" s="33">
        <v>0.05</v>
      </c>
      <c r="N18" s="58">
        <v>28459.88</v>
      </c>
      <c r="O18" s="33">
        <v>0</v>
      </c>
      <c r="P18" s="58">
        <v>14000</v>
      </c>
      <c r="Q18" s="33">
        <v>0.72</v>
      </c>
      <c r="R18" s="58">
        <v>232574.17</v>
      </c>
      <c r="S18" s="56">
        <v>275034.05</v>
      </c>
      <c r="T18" s="59">
        <v>42598.8775275116</v>
      </c>
    </row>
    <row r="19" spans="1:20" ht="15">
      <c r="A19" s="55" t="s">
        <v>186</v>
      </c>
      <c r="B19" s="55"/>
      <c r="C19" s="55"/>
      <c r="D19" s="55"/>
      <c r="E19" s="55" t="s">
        <v>30</v>
      </c>
      <c r="F19" s="55" t="s">
        <v>343</v>
      </c>
      <c r="G19" s="55" t="s">
        <v>374</v>
      </c>
      <c r="H19" s="33" t="s">
        <v>31</v>
      </c>
      <c r="I19" s="56">
        <v>0</v>
      </c>
      <c r="J19" s="108">
        <v>0</v>
      </c>
      <c r="K19" s="108">
        <v>0</v>
      </c>
      <c r="L19" s="108">
        <v>0</v>
      </c>
      <c r="M19" s="33">
        <v>0</v>
      </c>
      <c r="N19" s="58">
        <v>13319.5</v>
      </c>
      <c r="O19" s="33">
        <v>0</v>
      </c>
      <c r="P19" s="58">
        <v>2300</v>
      </c>
      <c r="Q19" s="33">
        <v>0.98</v>
      </c>
      <c r="R19" s="58">
        <v>109291.68</v>
      </c>
      <c r="S19" s="56">
        <v>124911.18</v>
      </c>
      <c r="T19" s="59">
        <v>42598.8775275116</v>
      </c>
    </row>
    <row r="20" spans="1:20" ht="15">
      <c r="A20" s="55" t="s">
        <v>186</v>
      </c>
      <c r="B20" s="55" t="s">
        <v>261</v>
      </c>
      <c r="C20" s="55" t="s">
        <v>262</v>
      </c>
      <c r="D20" s="55"/>
      <c r="E20" s="55" t="s">
        <v>32</v>
      </c>
      <c r="F20" s="55" t="s">
        <v>343</v>
      </c>
      <c r="G20" s="55" t="s">
        <v>374</v>
      </c>
      <c r="H20" s="33" t="s">
        <v>33</v>
      </c>
      <c r="I20" s="56">
        <v>0</v>
      </c>
      <c r="J20" s="108">
        <v>0</v>
      </c>
      <c r="K20" s="108">
        <v>0</v>
      </c>
      <c r="L20" s="108">
        <v>0</v>
      </c>
      <c r="M20" s="33">
        <v>0.3</v>
      </c>
      <c r="N20" s="58">
        <v>131085.46</v>
      </c>
      <c r="O20" s="33">
        <v>0</v>
      </c>
      <c r="P20" s="58">
        <v>7500</v>
      </c>
      <c r="Q20" s="33">
        <v>2.02</v>
      </c>
      <c r="R20" s="58">
        <v>1233323.41</v>
      </c>
      <c r="S20" s="56">
        <v>1371908.87</v>
      </c>
      <c r="T20" s="59">
        <v>42598.8775275116</v>
      </c>
    </row>
    <row r="21" spans="1:20" ht="15">
      <c r="A21" s="55" t="s">
        <v>186</v>
      </c>
      <c r="B21" s="55"/>
      <c r="C21" s="55"/>
      <c r="D21" s="55"/>
      <c r="E21" s="55" t="s">
        <v>34</v>
      </c>
      <c r="F21" s="55" t="s">
        <v>343</v>
      </c>
      <c r="G21" s="55" t="s">
        <v>375</v>
      </c>
      <c r="H21" s="33" t="s">
        <v>35</v>
      </c>
      <c r="I21" s="56">
        <v>4520907.45</v>
      </c>
      <c r="J21" s="108">
        <v>2359.7</v>
      </c>
      <c r="K21" s="108">
        <v>25943125</v>
      </c>
      <c r="L21" s="108">
        <v>793430</v>
      </c>
      <c r="M21" s="33">
        <v>0</v>
      </c>
      <c r="N21" s="58">
        <v>363290.78</v>
      </c>
      <c r="O21" s="33">
        <v>0</v>
      </c>
      <c r="P21" s="58">
        <v>6000</v>
      </c>
      <c r="Q21" s="33">
        <v>9.5775</v>
      </c>
      <c r="R21" s="58">
        <v>1796290.68</v>
      </c>
      <c r="S21" s="56">
        <v>6686488.91</v>
      </c>
      <c r="T21" s="59">
        <v>42598.8775275116</v>
      </c>
    </row>
    <row r="22" spans="1:20" ht="15">
      <c r="A22" s="55" t="s">
        <v>186</v>
      </c>
      <c r="B22" s="55"/>
      <c r="C22" s="55"/>
      <c r="D22" s="55" t="s">
        <v>379</v>
      </c>
      <c r="E22" s="55" t="s">
        <v>36</v>
      </c>
      <c r="F22" s="55" t="s">
        <v>343</v>
      </c>
      <c r="G22" s="55" t="s">
        <v>375</v>
      </c>
      <c r="H22" s="33" t="s">
        <v>37</v>
      </c>
      <c r="I22" s="56">
        <v>2928766.64</v>
      </c>
      <c r="J22" s="108">
        <v>3237.8</v>
      </c>
      <c r="K22" s="108">
        <v>12809031</v>
      </c>
      <c r="L22" s="108">
        <v>732041</v>
      </c>
      <c r="M22" s="33">
        <v>0</v>
      </c>
      <c r="N22" s="58">
        <v>263652.18</v>
      </c>
      <c r="O22" s="33">
        <v>0</v>
      </c>
      <c r="P22" s="58">
        <v>40000</v>
      </c>
      <c r="Q22" s="33">
        <v>8.1325</v>
      </c>
      <c r="R22" s="58">
        <v>1276115.49</v>
      </c>
      <c r="S22" s="56">
        <v>4508534.31</v>
      </c>
      <c r="T22" s="59">
        <v>42598.8775275116</v>
      </c>
    </row>
    <row r="23" spans="1:20" ht="15">
      <c r="A23" s="55" t="s">
        <v>186</v>
      </c>
      <c r="B23" s="55"/>
      <c r="C23" s="55"/>
      <c r="D23" s="55"/>
      <c r="E23" s="55" t="s">
        <v>38</v>
      </c>
      <c r="F23" s="55" t="s">
        <v>343</v>
      </c>
      <c r="G23" s="55" t="s">
        <v>375</v>
      </c>
      <c r="H23" s="33" t="s">
        <v>39</v>
      </c>
      <c r="I23" s="56">
        <v>8103953.75</v>
      </c>
      <c r="J23" s="108">
        <v>7278.2</v>
      </c>
      <c r="K23" s="108">
        <v>33665604</v>
      </c>
      <c r="L23" s="108">
        <v>244158</v>
      </c>
      <c r="M23" s="33">
        <v>0.585</v>
      </c>
      <c r="N23" s="58">
        <v>546191.95</v>
      </c>
      <c r="O23" s="33">
        <v>0.18</v>
      </c>
      <c r="P23" s="58">
        <v>17243.37</v>
      </c>
      <c r="Q23" s="33">
        <v>13.525</v>
      </c>
      <c r="R23" s="58">
        <v>2081677.4</v>
      </c>
      <c r="S23" s="56">
        <v>10749066.48</v>
      </c>
      <c r="T23" s="59">
        <v>42598.8775275116</v>
      </c>
    </row>
    <row r="24" spans="1:20" ht="15">
      <c r="A24" s="55" t="s">
        <v>186</v>
      </c>
      <c r="B24" s="55" t="s">
        <v>261</v>
      </c>
      <c r="C24" s="55" t="s">
        <v>262</v>
      </c>
      <c r="D24" s="55" t="s">
        <v>379</v>
      </c>
      <c r="E24" s="55" t="s">
        <v>40</v>
      </c>
      <c r="F24" s="55" t="s">
        <v>368</v>
      </c>
      <c r="G24" s="55" t="s">
        <v>375</v>
      </c>
      <c r="H24" s="33" t="s">
        <v>41</v>
      </c>
      <c r="I24" s="56">
        <v>1425285</v>
      </c>
      <c r="J24" s="108">
        <v>2403.4</v>
      </c>
      <c r="K24" s="108">
        <v>4072923</v>
      </c>
      <c r="L24" s="108">
        <v>-47203</v>
      </c>
      <c r="M24" s="33">
        <v>0</v>
      </c>
      <c r="N24" s="58">
        <v>166710</v>
      </c>
      <c r="O24" s="33">
        <v>0</v>
      </c>
      <c r="P24" s="58">
        <v>50000</v>
      </c>
      <c r="Q24" s="33">
        <v>0</v>
      </c>
      <c r="R24" s="58">
        <v>858005</v>
      </c>
      <c r="S24" s="56">
        <v>2500000</v>
      </c>
      <c r="T24" s="59">
        <v>42598.8775275116</v>
      </c>
    </row>
    <row r="25" spans="1:20" ht="15">
      <c r="A25" s="55" t="s">
        <v>186</v>
      </c>
      <c r="B25" s="55"/>
      <c r="C25" s="55"/>
      <c r="D25" s="55" t="s">
        <v>379</v>
      </c>
      <c r="E25" s="55" t="s">
        <v>42</v>
      </c>
      <c r="F25" s="55" t="s">
        <v>343</v>
      </c>
      <c r="G25" s="55" t="s">
        <v>374</v>
      </c>
      <c r="H25" s="33" t="s">
        <v>43</v>
      </c>
      <c r="I25" s="56">
        <v>0</v>
      </c>
      <c r="J25" s="108">
        <v>0</v>
      </c>
      <c r="K25" s="108">
        <v>0</v>
      </c>
      <c r="L25" s="108">
        <v>0</v>
      </c>
      <c r="M25" s="33">
        <v>0.1</v>
      </c>
      <c r="N25" s="58">
        <v>28420.97</v>
      </c>
      <c r="O25" s="33">
        <v>0</v>
      </c>
      <c r="P25" s="58">
        <v>0</v>
      </c>
      <c r="Q25" s="33">
        <v>0.53</v>
      </c>
      <c r="R25" s="58">
        <v>84973.59</v>
      </c>
      <c r="S25" s="56">
        <v>113394.56</v>
      </c>
      <c r="T25" s="59">
        <v>42598.8775275116</v>
      </c>
    </row>
    <row r="26" spans="1:20" ht="15">
      <c r="A26" s="55" t="s">
        <v>186</v>
      </c>
      <c r="B26" s="55"/>
      <c r="C26" s="55"/>
      <c r="D26" s="55" t="s">
        <v>379</v>
      </c>
      <c r="E26" s="55" t="s">
        <v>44</v>
      </c>
      <c r="F26" s="55" t="s">
        <v>343</v>
      </c>
      <c r="G26" s="55" t="s">
        <v>374</v>
      </c>
      <c r="H26" s="33" t="s">
        <v>45</v>
      </c>
      <c r="I26" s="56">
        <v>0</v>
      </c>
      <c r="J26" s="108">
        <v>0</v>
      </c>
      <c r="K26" s="108">
        <v>0</v>
      </c>
      <c r="L26" s="108">
        <v>0</v>
      </c>
      <c r="M26" s="33">
        <v>0.05</v>
      </c>
      <c r="N26" s="58">
        <v>19318.82</v>
      </c>
      <c r="O26" s="33">
        <v>0</v>
      </c>
      <c r="P26" s="58">
        <v>500</v>
      </c>
      <c r="Q26" s="33">
        <v>0.1</v>
      </c>
      <c r="R26" s="58">
        <v>263440.92</v>
      </c>
      <c r="S26" s="56">
        <v>283259.74</v>
      </c>
      <c r="T26" s="59">
        <v>42598.8775275116</v>
      </c>
    </row>
    <row r="27" spans="1:20" ht="15">
      <c r="A27" s="55" t="s">
        <v>186</v>
      </c>
      <c r="B27" s="55" t="s">
        <v>261</v>
      </c>
      <c r="C27" s="55" t="s">
        <v>262</v>
      </c>
      <c r="D27" s="55"/>
      <c r="E27" s="55" t="s">
        <v>46</v>
      </c>
      <c r="F27" s="55" t="s">
        <v>368</v>
      </c>
      <c r="G27" s="55" t="s">
        <v>375</v>
      </c>
      <c r="H27" s="33" t="s">
        <v>47</v>
      </c>
      <c r="I27" s="56">
        <v>8606300.5</v>
      </c>
      <c r="J27" s="108">
        <v>5947.2</v>
      </c>
      <c r="K27" s="108">
        <v>28420449</v>
      </c>
      <c r="L27" s="108">
        <v>-87457</v>
      </c>
      <c r="M27" s="33">
        <v>0</v>
      </c>
      <c r="N27" s="58">
        <v>28755.28</v>
      </c>
      <c r="O27" s="33">
        <v>0.09</v>
      </c>
      <c r="P27" s="58">
        <v>87818.26</v>
      </c>
      <c r="Q27" s="33">
        <v>2.87</v>
      </c>
      <c r="R27" s="58">
        <v>1205907.08</v>
      </c>
      <c r="S27" s="56">
        <v>9928781.12</v>
      </c>
      <c r="T27" s="59">
        <v>42598.8775275116</v>
      </c>
    </row>
    <row r="28" spans="1:20" ht="15">
      <c r="A28" s="55" t="s">
        <v>186</v>
      </c>
      <c r="B28" s="55"/>
      <c r="C28" s="55" t="s">
        <v>262</v>
      </c>
      <c r="D28" s="55"/>
      <c r="E28" s="55" t="s">
        <v>48</v>
      </c>
      <c r="F28" s="55" t="s">
        <v>328</v>
      </c>
      <c r="G28" s="55" t="s">
        <v>374</v>
      </c>
      <c r="H28" s="33" t="s">
        <v>301</v>
      </c>
      <c r="I28" s="56">
        <v>0</v>
      </c>
      <c r="J28" s="108">
        <v>0</v>
      </c>
      <c r="K28" s="108">
        <v>0</v>
      </c>
      <c r="L28" s="108">
        <v>0</v>
      </c>
      <c r="M28" s="33">
        <v>0.05</v>
      </c>
      <c r="N28" s="58">
        <v>28459.88</v>
      </c>
      <c r="O28" s="33">
        <v>0</v>
      </c>
      <c r="P28" s="58">
        <v>14000</v>
      </c>
      <c r="Q28" s="33">
        <v>0.72</v>
      </c>
      <c r="R28" s="58">
        <v>232574.17</v>
      </c>
      <c r="S28" s="56">
        <v>275034.05</v>
      </c>
      <c r="T28" s="59">
        <v>42598.8775275116</v>
      </c>
    </row>
    <row r="29" spans="1:20" ht="15">
      <c r="A29" s="55" t="s">
        <v>186</v>
      </c>
      <c r="B29" s="55"/>
      <c r="C29" s="55"/>
      <c r="D29" s="55"/>
      <c r="E29" s="55" t="s">
        <v>49</v>
      </c>
      <c r="F29" s="55" t="s">
        <v>328</v>
      </c>
      <c r="G29" s="55" t="s">
        <v>374</v>
      </c>
      <c r="H29" s="33" t="s">
        <v>50</v>
      </c>
      <c r="I29" s="56">
        <v>0</v>
      </c>
      <c r="J29" s="108">
        <v>0</v>
      </c>
      <c r="K29" s="108">
        <v>0</v>
      </c>
      <c r="L29" s="108">
        <v>0</v>
      </c>
      <c r="M29" s="33">
        <v>0</v>
      </c>
      <c r="N29" s="58">
        <v>6019.06</v>
      </c>
      <c r="O29" s="33">
        <v>0</v>
      </c>
      <c r="P29" s="58">
        <v>500</v>
      </c>
      <c r="Q29" s="33">
        <v>0.46</v>
      </c>
      <c r="R29" s="58">
        <v>53762.36</v>
      </c>
      <c r="S29" s="56">
        <v>60281.42</v>
      </c>
      <c r="T29" s="59">
        <v>42598.8775275116</v>
      </c>
    </row>
    <row r="30" spans="1:20" ht="15">
      <c r="A30" s="55" t="s">
        <v>186</v>
      </c>
      <c r="B30" s="55" t="s">
        <v>261</v>
      </c>
      <c r="C30" s="55" t="s">
        <v>262</v>
      </c>
      <c r="D30" s="55"/>
      <c r="E30" s="55" t="s">
        <v>51</v>
      </c>
      <c r="F30" s="55" t="s">
        <v>368</v>
      </c>
      <c r="G30" s="55" t="s">
        <v>374</v>
      </c>
      <c r="H30" s="33" t="s">
        <v>52</v>
      </c>
      <c r="I30" s="56">
        <v>0</v>
      </c>
      <c r="J30" s="108">
        <v>0</v>
      </c>
      <c r="K30" s="108">
        <v>0</v>
      </c>
      <c r="L30" s="108">
        <v>0</v>
      </c>
      <c r="M30" s="33">
        <v>0</v>
      </c>
      <c r="N30" s="58">
        <v>28310.84</v>
      </c>
      <c r="O30" s="33">
        <v>0</v>
      </c>
      <c r="P30" s="58">
        <v>5500</v>
      </c>
      <c r="Q30" s="33">
        <v>0.58</v>
      </c>
      <c r="R30" s="58">
        <v>433893.27</v>
      </c>
      <c r="S30" s="56">
        <v>467704.11</v>
      </c>
      <c r="T30" s="59">
        <v>42598.8775275116</v>
      </c>
    </row>
    <row r="31" spans="1:20" ht="15">
      <c r="A31" s="55" t="s">
        <v>186</v>
      </c>
      <c r="B31" s="55" t="s">
        <v>261</v>
      </c>
      <c r="C31" s="55" t="s">
        <v>262</v>
      </c>
      <c r="D31" s="55"/>
      <c r="E31" s="55" t="s">
        <v>53</v>
      </c>
      <c r="F31" s="55" t="s">
        <v>368</v>
      </c>
      <c r="G31" s="55" t="s">
        <v>374</v>
      </c>
      <c r="H31" s="33" t="s">
        <v>54</v>
      </c>
      <c r="I31" s="56">
        <v>0</v>
      </c>
      <c r="J31" s="108">
        <v>0</v>
      </c>
      <c r="K31" s="108">
        <v>0</v>
      </c>
      <c r="L31" s="108">
        <v>0</v>
      </c>
      <c r="M31" s="33">
        <v>0</v>
      </c>
      <c r="N31" s="58">
        <v>1025.21</v>
      </c>
      <c r="O31" s="33">
        <v>0</v>
      </c>
      <c r="P31" s="58">
        <v>0</v>
      </c>
      <c r="Q31" s="33">
        <v>0.1</v>
      </c>
      <c r="R31" s="58">
        <v>319090.92</v>
      </c>
      <c r="S31" s="56">
        <v>320116.13</v>
      </c>
      <c r="T31" s="59">
        <v>42598.8775275116</v>
      </c>
    </row>
    <row r="32" spans="1:20" ht="15">
      <c r="A32" s="55" t="s">
        <v>186</v>
      </c>
      <c r="B32" s="55"/>
      <c r="C32" s="55"/>
      <c r="D32" s="55"/>
      <c r="E32" s="55" t="s">
        <v>55</v>
      </c>
      <c r="F32" s="55" t="s">
        <v>328</v>
      </c>
      <c r="G32" s="55" t="s">
        <v>374</v>
      </c>
      <c r="H32" s="33" t="s">
        <v>56</v>
      </c>
      <c r="I32" s="56">
        <v>0</v>
      </c>
      <c r="J32" s="108">
        <v>0</v>
      </c>
      <c r="K32" s="108">
        <v>0</v>
      </c>
      <c r="L32" s="108">
        <v>0</v>
      </c>
      <c r="M32" s="33">
        <v>0.1</v>
      </c>
      <c r="N32" s="58">
        <v>23589.39</v>
      </c>
      <c r="O32" s="33">
        <v>0</v>
      </c>
      <c r="P32" s="58">
        <v>0</v>
      </c>
      <c r="Q32" s="33">
        <v>0.9</v>
      </c>
      <c r="R32" s="58">
        <v>84556.52</v>
      </c>
      <c r="S32" s="56">
        <v>108145.91</v>
      </c>
      <c r="T32" s="59">
        <v>42598.8775275116</v>
      </c>
    </row>
    <row r="33" spans="1:20" ht="15">
      <c r="A33" s="55" t="s">
        <v>186</v>
      </c>
      <c r="B33" s="55"/>
      <c r="C33" s="55"/>
      <c r="D33" s="55"/>
      <c r="E33" s="55" t="s">
        <v>57</v>
      </c>
      <c r="F33" s="55" t="s">
        <v>328</v>
      </c>
      <c r="G33" s="55" t="s">
        <v>375</v>
      </c>
      <c r="H33" s="33" t="s">
        <v>58</v>
      </c>
      <c r="I33" s="56">
        <v>578324.74</v>
      </c>
      <c r="J33" s="108">
        <v>585.1</v>
      </c>
      <c r="K33" s="108">
        <v>3824439</v>
      </c>
      <c r="L33" s="108">
        <v>49344</v>
      </c>
      <c r="M33" s="33">
        <v>0</v>
      </c>
      <c r="N33" s="58">
        <v>76209.42</v>
      </c>
      <c r="O33" s="33">
        <v>0</v>
      </c>
      <c r="P33" s="58">
        <v>2000</v>
      </c>
      <c r="Q33" s="33">
        <v>3.345</v>
      </c>
      <c r="R33" s="58">
        <v>400000.06</v>
      </c>
      <c r="S33" s="56">
        <v>1056534.22</v>
      </c>
      <c r="T33" s="59">
        <v>42598.8775275116</v>
      </c>
    </row>
    <row r="34" spans="1:20" ht="15">
      <c r="A34" s="55" t="s">
        <v>186</v>
      </c>
      <c r="B34" s="55"/>
      <c r="C34" s="55"/>
      <c r="D34" s="55"/>
      <c r="E34" s="55" t="s">
        <v>59</v>
      </c>
      <c r="F34" s="55" t="s">
        <v>328</v>
      </c>
      <c r="G34" s="55" t="s">
        <v>375</v>
      </c>
      <c r="H34" s="33" t="s">
        <v>60</v>
      </c>
      <c r="I34" s="56">
        <v>432849</v>
      </c>
      <c r="J34" s="108">
        <v>385.6</v>
      </c>
      <c r="K34" s="108">
        <v>1412400</v>
      </c>
      <c r="L34" s="108">
        <v>-4974</v>
      </c>
      <c r="M34" s="33">
        <v>0.13</v>
      </c>
      <c r="N34" s="58">
        <v>74995.27</v>
      </c>
      <c r="O34" s="33">
        <v>0.02</v>
      </c>
      <c r="P34" s="58">
        <v>1860.37</v>
      </c>
      <c r="Q34" s="33">
        <v>2.99</v>
      </c>
      <c r="R34" s="58">
        <v>329722.17</v>
      </c>
      <c r="S34" s="56">
        <v>839426.81</v>
      </c>
      <c r="T34" s="59">
        <v>42598.8775275116</v>
      </c>
    </row>
    <row r="35" spans="1:20" ht="15">
      <c r="A35" s="55" t="s">
        <v>186</v>
      </c>
      <c r="B35" s="55"/>
      <c r="C35" s="55"/>
      <c r="D35" s="55"/>
      <c r="E35" s="55" t="s">
        <v>61</v>
      </c>
      <c r="F35" s="55" t="s">
        <v>329</v>
      </c>
      <c r="G35" s="55" t="s">
        <v>374</v>
      </c>
      <c r="H35" s="33" t="s">
        <v>62</v>
      </c>
      <c r="I35" s="56">
        <v>0</v>
      </c>
      <c r="J35" s="108">
        <v>0</v>
      </c>
      <c r="K35" s="108">
        <v>0</v>
      </c>
      <c r="L35" s="108">
        <v>0</v>
      </c>
      <c r="M35" s="33">
        <v>0</v>
      </c>
      <c r="N35" s="58">
        <v>5599.94</v>
      </c>
      <c r="O35" s="33">
        <v>0</v>
      </c>
      <c r="P35" s="58">
        <v>500</v>
      </c>
      <c r="Q35" s="33">
        <v>0.44</v>
      </c>
      <c r="R35" s="58">
        <v>49573.86</v>
      </c>
      <c r="S35" s="56">
        <v>55673.8</v>
      </c>
      <c r="T35" s="59">
        <v>42598.8775275116</v>
      </c>
    </row>
    <row r="36" spans="1:20" ht="15">
      <c r="A36" s="55" t="s">
        <v>186</v>
      </c>
      <c r="B36" s="55" t="s">
        <v>261</v>
      </c>
      <c r="C36" s="55" t="s">
        <v>262</v>
      </c>
      <c r="D36" s="55"/>
      <c r="E36" s="55" t="s">
        <v>63</v>
      </c>
      <c r="F36" s="55" t="s">
        <v>329</v>
      </c>
      <c r="G36" s="55" t="s">
        <v>374</v>
      </c>
      <c r="H36" s="33" t="s">
        <v>64</v>
      </c>
      <c r="I36" s="56">
        <v>0</v>
      </c>
      <c r="J36" s="108">
        <v>0</v>
      </c>
      <c r="K36" s="108">
        <v>0</v>
      </c>
      <c r="L36" s="108">
        <v>0</v>
      </c>
      <c r="M36" s="33">
        <v>0</v>
      </c>
      <c r="N36" s="58">
        <v>17965.42</v>
      </c>
      <c r="O36" s="33">
        <v>0</v>
      </c>
      <c r="P36" s="58">
        <v>5000</v>
      </c>
      <c r="Q36" s="33">
        <v>0.61</v>
      </c>
      <c r="R36" s="58">
        <v>191171.4</v>
      </c>
      <c r="S36" s="56">
        <v>214136.82</v>
      </c>
      <c r="T36" s="59">
        <v>42598.8775275116</v>
      </c>
    </row>
    <row r="37" spans="1:20" ht="15">
      <c r="A37" s="55" t="s">
        <v>186</v>
      </c>
      <c r="B37" s="55"/>
      <c r="C37" s="55"/>
      <c r="D37" s="55"/>
      <c r="E37" s="55" t="s">
        <v>65</v>
      </c>
      <c r="F37" s="55" t="s">
        <v>329</v>
      </c>
      <c r="G37" s="55" t="s">
        <v>374</v>
      </c>
      <c r="H37" s="33" t="s">
        <v>66</v>
      </c>
      <c r="I37" s="56">
        <v>0</v>
      </c>
      <c r="J37" s="108">
        <v>0</v>
      </c>
      <c r="K37" s="108">
        <v>0</v>
      </c>
      <c r="L37" s="108">
        <v>0</v>
      </c>
      <c r="M37" s="33">
        <v>0</v>
      </c>
      <c r="N37" s="58">
        <v>3332.72</v>
      </c>
      <c r="O37" s="33">
        <v>0</v>
      </c>
      <c r="P37" s="58">
        <v>0</v>
      </c>
      <c r="Q37" s="33">
        <v>0.19</v>
      </c>
      <c r="R37" s="58">
        <v>25504.45</v>
      </c>
      <c r="S37" s="56">
        <v>28837.17</v>
      </c>
      <c r="T37" s="59">
        <v>42598.8775275116</v>
      </c>
    </row>
    <row r="38" spans="1:20" ht="15">
      <c r="A38" s="55" t="s">
        <v>186</v>
      </c>
      <c r="B38" s="55" t="s">
        <v>261</v>
      </c>
      <c r="C38" s="55" t="s">
        <v>262</v>
      </c>
      <c r="D38" s="55"/>
      <c r="E38" s="55" t="s">
        <v>67</v>
      </c>
      <c r="F38" s="55" t="s">
        <v>329</v>
      </c>
      <c r="G38" s="55" t="s">
        <v>374</v>
      </c>
      <c r="H38" s="33" t="s">
        <v>68</v>
      </c>
      <c r="I38" s="56">
        <v>0</v>
      </c>
      <c r="J38" s="108">
        <v>0</v>
      </c>
      <c r="K38" s="108">
        <v>0</v>
      </c>
      <c r="L38" s="108">
        <v>0</v>
      </c>
      <c r="M38" s="33">
        <v>0.1</v>
      </c>
      <c r="N38" s="58">
        <v>25032.04</v>
      </c>
      <c r="O38" s="33">
        <v>0.02</v>
      </c>
      <c r="P38" s="58">
        <v>4860.37</v>
      </c>
      <c r="Q38" s="33">
        <v>0.2</v>
      </c>
      <c r="R38" s="58">
        <v>76221.87</v>
      </c>
      <c r="S38" s="56">
        <v>106114.29</v>
      </c>
      <c r="T38" s="59">
        <v>42598.8775275116</v>
      </c>
    </row>
    <row r="39" spans="1:20" ht="15">
      <c r="A39" s="55" t="s">
        <v>186</v>
      </c>
      <c r="B39" s="55"/>
      <c r="C39" s="55"/>
      <c r="D39" s="55"/>
      <c r="E39" s="55" t="s">
        <v>69</v>
      </c>
      <c r="F39" s="55" t="s">
        <v>329</v>
      </c>
      <c r="G39" s="55" t="s">
        <v>375</v>
      </c>
      <c r="H39" s="33" t="s">
        <v>70</v>
      </c>
      <c r="I39" s="56">
        <v>34500.29</v>
      </c>
      <c r="J39" s="108">
        <v>43.7</v>
      </c>
      <c r="K39" s="108">
        <v>231550</v>
      </c>
      <c r="L39" s="108">
        <v>6880</v>
      </c>
      <c r="M39" s="33">
        <v>0</v>
      </c>
      <c r="N39" s="58">
        <v>14586.94</v>
      </c>
      <c r="O39" s="33">
        <v>0</v>
      </c>
      <c r="P39" s="58">
        <v>0</v>
      </c>
      <c r="Q39" s="33">
        <v>0.8175</v>
      </c>
      <c r="R39" s="58">
        <v>102389.19</v>
      </c>
      <c r="S39" s="56">
        <v>151476.41</v>
      </c>
      <c r="T39" s="59">
        <v>42598.8775275116</v>
      </c>
    </row>
    <row r="40" spans="1:20" ht="15">
      <c r="A40" s="55" t="s">
        <v>186</v>
      </c>
      <c r="B40" s="55"/>
      <c r="C40" s="55"/>
      <c r="D40" s="55"/>
      <c r="E40" s="55" t="s">
        <v>71</v>
      </c>
      <c r="F40" s="55" t="s">
        <v>329</v>
      </c>
      <c r="G40" s="55" t="s">
        <v>375</v>
      </c>
      <c r="H40" s="33" t="s">
        <v>72</v>
      </c>
      <c r="I40" s="56">
        <v>299820</v>
      </c>
      <c r="J40" s="108">
        <v>59.4</v>
      </c>
      <c r="K40" s="108">
        <v>302922</v>
      </c>
      <c r="L40" s="108">
        <v>125881</v>
      </c>
      <c r="M40" s="33">
        <v>0.055</v>
      </c>
      <c r="N40" s="58">
        <v>28088.34</v>
      </c>
      <c r="O40" s="33">
        <v>0.02</v>
      </c>
      <c r="P40" s="58">
        <v>2060.37</v>
      </c>
      <c r="Q40" s="33">
        <v>0.655</v>
      </c>
      <c r="R40" s="58">
        <v>93401.46</v>
      </c>
      <c r="S40" s="56">
        <v>423370.17</v>
      </c>
      <c r="T40" s="59">
        <v>42598.8775275116</v>
      </c>
    </row>
    <row r="41" spans="1:20" ht="15">
      <c r="A41" s="55" t="s">
        <v>186</v>
      </c>
      <c r="B41" s="55"/>
      <c r="C41" s="55" t="s">
        <v>262</v>
      </c>
      <c r="D41" s="55" t="s">
        <v>379</v>
      </c>
      <c r="E41" s="55" t="s">
        <v>73</v>
      </c>
      <c r="F41" s="55" t="s">
        <v>330</v>
      </c>
      <c r="G41" s="55" t="s">
        <v>375</v>
      </c>
      <c r="H41" s="33" t="s">
        <v>74</v>
      </c>
      <c r="I41" s="56">
        <v>0</v>
      </c>
      <c r="J41" s="108">
        <v>0</v>
      </c>
      <c r="K41" s="108">
        <v>0</v>
      </c>
      <c r="L41" s="108">
        <v>0</v>
      </c>
      <c r="M41" s="33">
        <v>0</v>
      </c>
      <c r="N41" s="58">
        <v>35066.19</v>
      </c>
      <c r="O41" s="33">
        <v>0</v>
      </c>
      <c r="P41" s="58">
        <v>13500</v>
      </c>
      <c r="Q41" s="33">
        <v>0.29</v>
      </c>
      <c r="R41" s="58">
        <v>903241.44</v>
      </c>
      <c r="S41" s="56">
        <v>951807.63</v>
      </c>
      <c r="T41" s="59">
        <v>42598.8775275116</v>
      </c>
    </row>
    <row r="42" spans="1:20" ht="15">
      <c r="A42" s="55" t="s">
        <v>186</v>
      </c>
      <c r="B42" s="55"/>
      <c r="C42" s="55"/>
      <c r="D42" s="55" t="s">
        <v>379</v>
      </c>
      <c r="E42" s="55" t="s">
        <v>75</v>
      </c>
      <c r="F42" s="55" t="s">
        <v>330</v>
      </c>
      <c r="G42" s="55" t="s">
        <v>375</v>
      </c>
      <c r="H42" s="33" t="s">
        <v>76</v>
      </c>
      <c r="I42" s="56">
        <v>0</v>
      </c>
      <c r="J42" s="108">
        <v>0</v>
      </c>
      <c r="K42" s="108">
        <v>0</v>
      </c>
      <c r="L42" s="108">
        <v>0</v>
      </c>
      <c r="M42" s="33">
        <v>0</v>
      </c>
      <c r="N42" s="58">
        <v>46712.16</v>
      </c>
      <c r="O42" s="33">
        <v>0</v>
      </c>
      <c r="P42" s="58">
        <v>2500</v>
      </c>
      <c r="Q42" s="33">
        <v>0.43</v>
      </c>
      <c r="R42" s="58">
        <v>1184353.51</v>
      </c>
      <c r="S42" s="56">
        <v>1233565.67</v>
      </c>
      <c r="T42" s="59">
        <v>42598.8775275116</v>
      </c>
    </row>
    <row r="43" spans="1:20" ht="15">
      <c r="A43" s="55" t="s">
        <v>186</v>
      </c>
      <c r="B43" s="55"/>
      <c r="C43" s="55"/>
      <c r="D43" s="55" t="s">
        <v>379</v>
      </c>
      <c r="E43" s="55" t="s">
        <v>77</v>
      </c>
      <c r="F43" s="55" t="s">
        <v>330</v>
      </c>
      <c r="G43" s="55" t="s">
        <v>375</v>
      </c>
      <c r="H43" s="33" t="s">
        <v>78</v>
      </c>
      <c r="I43" s="56">
        <v>10581013.22</v>
      </c>
      <c r="J43" s="108">
        <v>9226.4</v>
      </c>
      <c r="K43" s="108">
        <v>63158193</v>
      </c>
      <c r="L43" s="108">
        <v>-835685</v>
      </c>
      <c r="M43" s="33">
        <v>0.52</v>
      </c>
      <c r="N43" s="58">
        <v>468440.88</v>
      </c>
      <c r="O43" s="33">
        <v>0.2</v>
      </c>
      <c r="P43" s="58">
        <v>349508.54</v>
      </c>
      <c r="Q43" s="33">
        <v>1.35</v>
      </c>
      <c r="R43" s="58">
        <v>203681.1</v>
      </c>
      <c r="S43" s="56">
        <v>11602643.73</v>
      </c>
      <c r="T43" s="59">
        <v>42598.8775275116</v>
      </c>
    </row>
    <row r="44" spans="1:20" ht="15">
      <c r="A44" s="55" t="s">
        <v>186</v>
      </c>
      <c r="B44" s="55"/>
      <c r="C44" s="55" t="s">
        <v>262</v>
      </c>
      <c r="D44" s="55" t="s">
        <v>379</v>
      </c>
      <c r="E44" s="55" t="s">
        <v>79</v>
      </c>
      <c r="F44" s="55" t="s">
        <v>336</v>
      </c>
      <c r="G44" s="55" t="s">
        <v>374</v>
      </c>
      <c r="H44" s="33" t="s">
        <v>80</v>
      </c>
      <c r="I44" s="56">
        <v>0</v>
      </c>
      <c r="J44" s="108">
        <v>0</v>
      </c>
      <c r="K44" s="108">
        <v>0</v>
      </c>
      <c r="L44" s="108">
        <v>0</v>
      </c>
      <c r="M44" s="33">
        <v>0</v>
      </c>
      <c r="N44" s="58">
        <v>31849.1</v>
      </c>
      <c r="O44" s="33">
        <v>0</v>
      </c>
      <c r="P44" s="58">
        <v>8000</v>
      </c>
      <c r="Q44" s="33">
        <v>0.69</v>
      </c>
      <c r="R44" s="58">
        <v>392982.87</v>
      </c>
      <c r="S44" s="56">
        <v>432831.97</v>
      </c>
      <c r="T44" s="59">
        <v>42598.8775275116</v>
      </c>
    </row>
    <row r="45" spans="1:20" ht="15">
      <c r="A45" s="55" t="s">
        <v>186</v>
      </c>
      <c r="B45" s="55"/>
      <c r="C45" s="55" t="s">
        <v>262</v>
      </c>
      <c r="D45" s="55" t="s">
        <v>379</v>
      </c>
      <c r="E45" s="55" t="s">
        <v>81</v>
      </c>
      <c r="F45" s="55" t="s">
        <v>336</v>
      </c>
      <c r="G45" s="55" t="s">
        <v>374</v>
      </c>
      <c r="H45" s="33" t="s">
        <v>82</v>
      </c>
      <c r="I45" s="56">
        <v>0</v>
      </c>
      <c r="J45" s="108">
        <v>0</v>
      </c>
      <c r="K45" s="108">
        <v>0</v>
      </c>
      <c r="L45" s="108">
        <v>0</v>
      </c>
      <c r="M45" s="33">
        <v>0</v>
      </c>
      <c r="N45" s="58">
        <v>44960.75</v>
      </c>
      <c r="O45" s="33">
        <v>0</v>
      </c>
      <c r="P45" s="58">
        <v>2400</v>
      </c>
      <c r="Q45" s="33">
        <v>1.12</v>
      </c>
      <c r="R45" s="58">
        <v>689901.24</v>
      </c>
      <c r="S45" s="56">
        <v>737261.99</v>
      </c>
      <c r="T45" s="59">
        <v>42598.8775275116</v>
      </c>
    </row>
    <row r="46" spans="1:20" ht="15">
      <c r="A46" s="55" t="s">
        <v>186</v>
      </c>
      <c r="B46" s="55"/>
      <c r="C46" s="55" t="s">
        <v>262</v>
      </c>
      <c r="D46" s="55" t="s">
        <v>379</v>
      </c>
      <c r="E46" s="55" t="s">
        <v>83</v>
      </c>
      <c r="F46" s="55" t="s">
        <v>336</v>
      </c>
      <c r="G46" s="55" t="s">
        <v>374</v>
      </c>
      <c r="H46" s="33" t="s">
        <v>84</v>
      </c>
      <c r="I46" s="56">
        <v>0</v>
      </c>
      <c r="J46" s="108">
        <v>0</v>
      </c>
      <c r="K46" s="108">
        <v>0</v>
      </c>
      <c r="L46" s="108">
        <v>0</v>
      </c>
      <c r="M46" s="33">
        <v>0</v>
      </c>
      <c r="N46" s="58">
        <v>14198.8</v>
      </c>
      <c r="O46" s="33">
        <v>0</v>
      </c>
      <c r="P46" s="58">
        <v>300</v>
      </c>
      <c r="Q46" s="33">
        <v>0.45</v>
      </c>
      <c r="R46" s="58">
        <v>185481.4</v>
      </c>
      <c r="S46" s="56">
        <v>199980.2</v>
      </c>
      <c r="T46" s="59">
        <v>42598.8775275116</v>
      </c>
    </row>
    <row r="47" spans="1:20" ht="15">
      <c r="A47" s="55" t="s">
        <v>186</v>
      </c>
      <c r="B47" s="55"/>
      <c r="C47" s="55" t="s">
        <v>262</v>
      </c>
      <c r="D47" s="55" t="s">
        <v>379</v>
      </c>
      <c r="E47" s="55" t="s">
        <v>85</v>
      </c>
      <c r="F47" s="55" t="s">
        <v>265</v>
      </c>
      <c r="G47" s="55" t="s">
        <v>375</v>
      </c>
      <c r="H47" s="33" t="s">
        <v>257</v>
      </c>
      <c r="I47" s="56">
        <v>0</v>
      </c>
      <c r="J47" s="108">
        <v>29109.3</v>
      </c>
      <c r="K47" s="108">
        <v>152496557</v>
      </c>
      <c r="L47" s="108">
        <v>1798393</v>
      </c>
      <c r="M47" s="33">
        <v>0.04</v>
      </c>
      <c r="N47" s="58">
        <v>39024.49</v>
      </c>
      <c r="O47" s="33">
        <v>0</v>
      </c>
      <c r="P47" s="58">
        <v>0</v>
      </c>
      <c r="Q47" s="33">
        <v>1.2</v>
      </c>
      <c r="R47" s="58">
        <v>268814.66</v>
      </c>
      <c r="S47" s="56">
        <v>307839.15</v>
      </c>
      <c r="T47" s="59">
        <v>42598.8775275116</v>
      </c>
    </row>
    <row r="48" spans="1:20" ht="15">
      <c r="A48" s="55" t="s">
        <v>186</v>
      </c>
      <c r="B48" s="55"/>
      <c r="C48" s="55"/>
      <c r="D48" s="55" t="s">
        <v>379</v>
      </c>
      <c r="E48" s="55" t="s">
        <v>86</v>
      </c>
      <c r="F48" s="55" t="s">
        <v>265</v>
      </c>
      <c r="G48" s="55" t="s">
        <v>375</v>
      </c>
      <c r="H48" s="33" t="s">
        <v>87</v>
      </c>
      <c r="I48" s="56">
        <v>0</v>
      </c>
      <c r="J48" s="108">
        <v>0</v>
      </c>
      <c r="K48" s="108">
        <v>0</v>
      </c>
      <c r="L48" s="108">
        <v>0</v>
      </c>
      <c r="M48" s="33">
        <v>0.06</v>
      </c>
      <c r="N48" s="58">
        <v>35385.11</v>
      </c>
      <c r="O48" s="33">
        <v>0</v>
      </c>
      <c r="P48" s="58">
        <v>0</v>
      </c>
      <c r="Q48" s="33">
        <v>0.92</v>
      </c>
      <c r="R48" s="58">
        <v>280043.27</v>
      </c>
      <c r="S48" s="56">
        <v>315428.38</v>
      </c>
      <c r="T48" s="59">
        <v>42598.8775275116</v>
      </c>
    </row>
    <row r="49" spans="1:20" ht="15">
      <c r="A49" s="55" t="s">
        <v>186</v>
      </c>
      <c r="B49" s="55"/>
      <c r="C49" s="55"/>
      <c r="D49" s="55"/>
      <c r="E49" s="55" t="s">
        <v>88</v>
      </c>
      <c r="F49" s="55" t="s">
        <v>265</v>
      </c>
      <c r="G49" s="55" t="s">
        <v>375</v>
      </c>
      <c r="H49" s="33" t="s">
        <v>89</v>
      </c>
      <c r="I49" s="56">
        <v>0</v>
      </c>
      <c r="J49" s="108">
        <v>0</v>
      </c>
      <c r="K49" s="108">
        <v>0</v>
      </c>
      <c r="L49" s="108">
        <v>0</v>
      </c>
      <c r="M49" s="33">
        <v>0.1</v>
      </c>
      <c r="N49" s="58">
        <v>32931.23</v>
      </c>
      <c r="O49" s="33">
        <v>0</v>
      </c>
      <c r="P49" s="58">
        <v>0</v>
      </c>
      <c r="Q49" s="33">
        <v>0.3</v>
      </c>
      <c r="R49" s="58">
        <v>256740.28</v>
      </c>
      <c r="S49" s="56">
        <v>289671.5</v>
      </c>
      <c r="T49" s="59">
        <v>42598.8775275116</v>
      </c>
    </row>
    <row r="50" spans="1:20" ht="15">
      <c r="A50" s="55" t="s">
        <v>186</v>
      </c>
      <c r="B50" s="55"/>
      <c r="C50" s="55"/>
      <c r="D50" s="55"/>
      <c r="E50" s="55" t="s">
        <v>90</v>
      </c>
      <c r="F50" s="55" t="s">
        <v>265</v>
      </c>
      <c r="G50" s="55" t="s">
        <v>375</v>
      </c>
      <c r="H50" s="33" t="s">
        <v>91</v>
      </c>
      <c r="I50" s="56">
        <v>0</v>
      </c>
      <c r="J50" s="108">
        <v>0</v>
      </c>
      <c r="K50" s="108">
        <v>0</v>
      </c>
      <c r="L50" s="108">
        <v>0</v>
      </c>
      <c r="M50" s="33">
        <v>0.02</v>
      </c>
      <c r="N50" s="58">
        <v>8060.6</v>
      </c>
      <c r="O50" s="33">
        <v>0</v>
      </c>
      <c r="P50" s="58">
        <v>0</v>
      </c>
      <c r="Q50" s="33">
        <v>0.24</v>
      </c>
      <c r="R50" s="58">
        <v>58802.82</v>
      </c>
      <c r="S50" s="56">
        <v>66863.43</v>
      </c>
      <c r="T50" s="59">
        <v>42598.8775275116</v>
      </c>
    </row>
    <row r="51" spans="1:20" ht="15">
      <c r="A51" s="55" t="s">
        <v>186</v>
      </c>
      <c r="B51" s="55"/>
      <c r="C51" s="55"/>
      <c r="D51" s="55"/>
      <c r="E51" s="55" t="s">
        <v>92</v>
      </c>
      <c r="F51" s="55" t="s">
        <v>265</v>
      </c>
      <c r="G51" s="55" t="s">
        <v>375</v>
      </c>
      <c r="H51" s="33" t="s">
        <v>93</v>
      </c>
      <c r="I51" s="56">
        <v>0</v>
      </c>
      <c r="J51" s="108">
        <v>0</v>
      </c>
      <c r="K51" s="108">
        <v>0</v>
      </c>
      <c r="L51" s="108">
        <v>0</v>
      </c>
      <c r="M51" s="33">
        <v>0.02</v>
      </c>
      <c r="N51" s="58">
        <v>9451.32</v>
      </c>
      <c r="O51" s="33">
        <v>0</v>
      </c>
      <c r="P51" s="58">
        <v>0</v>
      </c>
      <c r="Q51" s="33">
        <v>0.3</v>
      </c>
      <c r="R51" s="58">
        <v>46456.31</v>
      </c>
      <c r="S51" s="56">
        <v>55907.63</v>
      </c>
      <c r="T51" s="59">
        <v>42598.8775275116</v>
      </c>
    </row>
    <row r="52" spans="1:20" ht="15">
      <c r="A52" s="55" t="s">
        <v>186</v>
      </c>
      <c r="B52" s="55"/>
      <c r="C52" s="55" t="s">
        <v>262</v>
      </c>
      <c r="D52" s="55"/>
      <c r="E52" s="55" t="s">
        <v>94</v>
      </c>
      <c r="F52" s="55" t="s">
        <v>369</v>
      </c>
      <c r="G52" s="55" t="s">
        <v>374</v>
      </c>
      <c r="H52" s="33" t="s">
        <v>95</v>
      </c>
      <c r="I52" s="56">
        <v>0</v>
      </c>
      <c r="J52" s="108">
        <v>0</v>
      </c>
      <c r="K52" s="108">
        <v>0</v>
      </c>
      <c r="L52" s="108">
        <v>0</v>
      </c>
      <c r="M52" s="33">
        <v>1.35</v>
      </c>
      <c r="N52" s="58">
        <v>644563.36</v>
      </c>
      <c r="O52" s="33">
        <v>2.51</v>
      </c>
      <c r="P52" s="58">
        <v>591773.38</v>
      </c>
      <c r="Q52" s="33">
        <v>8.51</v>
      </c>
      <c r="R52" s="58">
        <v>2786663.26</v>
      </c>
      <c r="S52" s="56">
        <v>4023000</v>
      </c>
      <c r="T52" s="59">
        <v>42598.8775275116</v>
      </c>
    </row>
    <row r="53" spans="1:20" ht="15">
      <c r="A53" s="55" t="s">
        <v>186</v>
      </c>
      <c r="B53" s="55"/>
      <c r="C53" s="55" t="s">
        <v>262</v>
      </c>
      <c r="D53" s="55" t="s">
        <v>379</v>
      </c>
      <c r="E53" s="55" t="s">
        <v>96</v>
      </c>
      <c r="F53" s="55" t="s">
        <v>369</v>
      </c>
      <c r="G53" s="55" t="s">
        <v>374</v>
      </c>
      <c r="H53" s="33" t="s">
        <v>97</v>
      </c>
      <c r="I53" s="56">
        <v>0</v>
      </c>
      <c r="J53" s="108">
        <v>0</v>
      </c>
      <c r="K53" s="108">
        <v>0</v>
      </c>
      <c r="L53" s="108">
        <v>0</v>
      </c>
      <c r="M53" s="33">
        <v>0</v>
      </c>
      <c r="N53" s="58">
        <v>59960.48</v>
      </c>
      <c r="O53" s="33">
        <v>0</v>
      </c>
      <c r="P53" s="58">
        <v>50000</v>
      </c>
      <c r="Q53" s="33">
        <v>0.25</v>
      </c>
      <c r="R53" s="58">
        <v>664039.53</v>
      </c>
      <c r="S53" s="56">
        <v>774000</v>
      </c>
      <c r="T53" s="59">
        <v>42598.8775275116</v>
      </c>
    </row>
    <row r="54" spans="1:20" ht="15">
      <c r="A54" s="55" t="s">
        <v>186</v>
      </c>
      <c r="B54" s="55"/>
      <c r="C54" s="55" t="s">
        <v>262</v>
      </c>
      <c r="D54" s="55"/>
      <c r="E54" s="55" t="s">
        <v>98</v>
      </c>
      <c r="F54" s="55" t="s">
        <v>369</v>
      </c>
      <c r="G54" s="55" t="s">
        <v>374</v>
      </c>
      <c r="H54" s="33" t="s">
        <v>99</v>
      </c>
      <c r="I54" s="56">
        <v>0</v>
      </c>
      <c r="J54" s="108">
        <v>0</v>
      </c>
      <c r="K54" s="108">
        <v>0</v>
      </c>
      <c r="L54" s="108">
        <v>0</v>
      </c>
      <c r="M54" s="33">
        <v>0</v>
      </c>
      <c r="N54" s="58">
        <v>13338.42</v>
      </c>
      <c r="O54" s="33">
        <v>0</v>
      </c>
      <c r="P54" s="58">
        <v>0</v>
      </c>
      <c r="Q54" s="33">
        <v>0.5</v>
      </c>
      <c r="R54" s="58">
        <v>86661.58</v>
      </c>
      <c r="S54" s="56">
        <v>100000</v>
      </c>
      <c r="T54" s="59">
        <v>42598.8775275116</v>
      </c>
    </row>
    <row r="55" spans="1:20" ht="15">
      <c r="A55" s="55" t="s">
        <v>186</v>
      </c>
      <c r="B55" s="55"/>
      <c r="C55" s="55" t="s">
        <v>262</v>
      </c>
      <c r="D55" s="55"/>
      <c r="E55" s="55" t="s">
        <v>100</v>
      </c>
      <c r="F55" s="55" t="s">
        <v>367</v>
      </c>
      <c r="G55" s="55" t="s">
        <v>374</v>
      </c>
      <c r="H55" s="33" t="s">
        <v>101</v>
      </c>
      <c r="I55" s="56">
        <v>0</v>
      </c>
      <c r="J55" s="108">
        <v>0</v>
      </c>
      <c r="K55" s="108">
        <v>0</v>
      </c>
      <c r="L55" s="108">
        <v>0</v>
      </c>
      <c r="M55" s="33">
        <v>0.4</v>
      </c>
      <c r="N55" s="58">
        <v>156555.89</v>
      </c>
      <c r="O55" s="33">
        <v>3.2</v>
      </c>
      <c r="P55" s="58">
        <v>623517.44</v>
      </c>
      <c r="Q55" s="33">
        <v>0.4</v>
      </c>
      <c r="R55" s="58">
        <v>435002.18</v>
      </c>
      <c r="S55" s="56">
        <v>1215075.51</v>
      </c>
      <c r="T55" s="59">
        <v>42598.8775275116</v>
      </c>
    </row>
    <row r="56" spans="1:20" ht="15">
      <c r="A56" s="55" t="s">
        <v>186</v>
      </c>
      <c r="B56" s="55"/>
      <c r="C56" s="55" t="s">
        <v>262</v>
      </c>
      <c r="D56" s="55"/>
      <c r="E56" s="55" t="s">
        <v>102</v>
      </c>
      <c r="F56" s="55" t="s">
        <v>367</v>
      </c>
      <c r="G56" s="55" t="s">
        <v>375</v>
      </c>
      <c r="H56" s="33" t="s">
        <v>103</v>
      </c>
      <c r="I56" s="56">
        <v>0</v>
      </c>
      <c r="J56" s="108">
        <v>0</v>
      </c>
      <c r="K56" s="108">
        <v>28598150</v>
      </c>
      <c r="L56" s="108">
        <v>530250</v>
      </c>
      <c r="M56" s="33">
        <v>1.0575</v>
      </c>
      <c r="N56" s="58">
        <v>282843.94</v>
      </c>
      <c r="O56" s="33">
        <v>0.065</v>
      </c>
      <c r="P56" s="58">
        <v>7934.33</v>
      </c>
      <c r="Q56" s="33">
        <v>0.585</v>
      </c>
      <c r="R56" s="58">
        <v>3017865.14</v>
      </c>
      <c r="S56" s="56">
        <v>3308643.41</v>
      </c>
      <c r="T56" s="59">
        <v>42598.8775275116</v>
      </c>
    </row>
    <row r="57" spans="1:20" ht="15">
      <c r="A57" s="55" t="s">
        <v>186</v>
      </c>
      <c r="B57" s="55"/>
      <c r="C57" s="55" t="s">
        <v>262</v>
      </c>
      <c r="D57" s="55"/>
      <c r="E57" s="55" t="s">
        <v>104</v>
      </c>
      <c r="F57" s="55" t="s">
        <v>331</v>
      </c>
      <c r="G57" s="55" t="s">
        <v>374</v>
      </c>
      <c r="H57" s="33" t="s">
        <v>105</v>
      </c>
      <c r="I57" s="56">
        <v>0</v>
      </c>
      <c r="J57" s="108">
        <v>0</v>
      </c>
      <c r="K57" s="108">
        <v>0</v>
      </c>
      <c r="L57" s="108">
        <v>0</v>
      </c>
      <c r="M57" s="33">
        <v>0</v>
      </c>
      <c r="N57" s="58">
        <v>52467.69</v>
      </c>
      <c r="O57" s="33">
        <v>0</v>
      </c>
      <c r="P57" s="58">
        <v>10000</v>
      </c>
      <c r="Q57" s="33">
        <v>3.369</v>
      </c>
      <c r="R57" s="58">
        <v>358051.81</v>
      </c>
      <c r="S57" s="56">
        <v>420519.5</v>
      </c>
      <c r="T57" s="59">
        <v>42598.8775275116</v>
      </c>
    </row>
    <row r="58" spans="1:20" ht="15">
      <c r="A58" s="55" t="s">
        <v>186</v>
      </c>
      <c r="B58" s="55"/>
      <c r="C58" s="55" t="s">
        <v>262</v>
      </c>
      <c r="D58" s="55" t="s">
        <v>379</v>
      </c>
      <c r="E58" s="55" t="s">
        <v>106</v>
      </c>
      <c r="F58" s="55" t="s">
        <v>331</v>
      </c>
      <c r="G58" s="55" t="s">
        <v>374</v>
      </c>
      <c r="H58" s="33" t="s">
        <v>107</v>
      </c>
      <c r="I58" s="56">
        <v>0</v>
      </c>
      <c r="J58" s="108">
        <v>0</v>
      </c>
      <c r="K58" s="108">
        <v>0</v>
      </c>
      <c r="L58" s="108">
        <v>0</v>
      </c>
      <c r="M58" s="33">
        <v>0</v>
      </c>
      <c r="N58" s="58">
        <v>45437.53</v>
      </c>
      <c r="O58" s="33">
        <v>0</v>
      </c>
      <c r="P58" s="58">
        <v>0</v>
      </c>
      <c r="Q58" s="33">
        <v>0</v>
      </c>
      <c r="R58" s="58">
        <v>1298215</v>
      </c>
      <c r="S58" s="56">
        <v>1343652.52</v>
      </c>
      <c r="T58" s="59">
        <v>42598.8775275116</v>
      </c>
    </row>
    <row r="59" spans="1:20" ht="15">
      <c r="A59" s="55" t="s">
        <v>186</v>
      </c>
      <c r="B59" s="55"/>
      <c r="C59" s="55" t="s">
        <v>262</v>
      </c>
      <c r="D59" s="55" t="s">
        <v>379</v>
      </c>
      <c r="E59" s="55" t="s">
        <v>108</v>
      </c>
      <c r="F59" s="55" t="s">
        <v>370</v>
      </c>
      <c r="G59" s="55" t="s">
        <v>374</v>
      </c>
      <c r="H59" s="33" t="s">
        <v>109</v>
      </c>
      <c r="I59" s="56">
        <v>0</v>
      </c>
      <c r="J59" s="108">
        <v>0</v>
      </c>
      <c r="K59" s="108">
        <v>0</v>
      </c>
      <c r="L59" s="108">
        <v>0</v>
      </c>
      <c r="M59" s="33">
        <v>0.135</v>
      </c>
      <c r="N59" s="58">
        <v>30246.74</v>
      </c>
      <c r="O59" s="33">
        <v>0</v>
      </c>
      <c r="P59" s="58">
        <v>0</v>
      </c>
      <c r="Q59" s="33">
        <v>0.3675</v>
      </c>
      <c r="R59" s="58">
        <v>76573.5</v>
      </c>
      <c r="S59" s="56">
        <v>106820.23</v>
      </c>
      <c r="T59" s="59">
        <v>42598.8775275116</v>
      </c>
    </row>
    <row r="60" spans="1:20" ht="15">
      <c r="A60" s="55" t="s">
        <v>186</v>
      </c>
      <c r="B60" s="55"/>
      <c r="C60" s="55" t="s">
        <v>262</v>
      </c>
      <c r="D60" s="55" t="s">
        <v>379</v>
      </c>
      <c r="E60" s="55" t="s">
        <v>110</v>
      </c>
      <c r="F60" s="55" t="s">
        <v>370</v>
      </c>
      <c r="G60" s="55" t="s">
        <v>374</v>
      </c>
      <c r="H60" s="33" t="s">
        <v>111</v>
      </c>
      <c r="I60" s="56">
        <v>0</v>
      </c>
      <c r="J60" s="108">
        <v>0</v>
      </c>
      <c r="K60" s="108">
        <v>0</v>
      </c>
      <c r="L60" s="108">
        <v>0</v>
      </c>
      <c r="M60" s="33">
        <v>0.21</v>
      </c>
      <c r="N60" s="58">
        <v>64573.31</v>
      </c>
      <c r="O60" s="33">
        <v>0.005</v>
      </c>
      <c r="P60" s="58">
        <v>554.55</v>
      </c>
      <c r="Q60" s="33">
        <v>0.668</v>
      </c>
      <c r="R60" s="58">
        <v>157760.17</v>
      </c>
      <c r="S60" s="56">
        <v>222888.03</v>
      </c>
      <c r="T60" s="59">
        <v>42598.8775275116</v>
      </c>
    </row>
    <row r="61" spans="1:20" ht="15">
      <c r="A61" s="55" t="s">
        <v>186</v>
      </c>
      <c r="B61" s="55"/>
      <c r="C61" s="55" t="s">
        <v>262</v>
      </c>
      <c r="D61" s="55" t="s">
        <v>379</v>
      </c>
      <c r="E61" s="55" t="s">
        <v>112</v>
      </c>
      <c r="F61" s="55" t="s">
        <v>370</v>
      </c>
      <c r="G61" s="55" t="s">
        <v>374</v>
      </c>
      <c r="H61" s="33" t="s">
        <v>113</v>
      </c>
      <c r="I61" s="56">
        <v>0</v>
      </c>
      <c r="J61" s="108">
        <v>0</v>
      </c>
      <c r="K61" s="108">
        <v>0</v>
      </c>
      <c r="L61" s="108">
        <v>0</v>
      </c>
      <c r="M61" s="33">
        <v>0.19</v>
      </c>
      <c r="N61" s="58">
        <v>45865.37</v>
      </c>
      <c r="O61" s="33">
        <v>0.02</v>
      </c>
      <c r="P61" s="58">
        <v>2218.18</v>
      </c>
      <c r="Q61" s="33">
        <v>0.7763</v>
      </c>
      <c r="R61" s="58">
        <v>182943.24</v>
      </c>
      <c r="S61" s="56">
        <v>231026.8</v>
      </c>
      <c r="T61" s="59">
        <v>42598.8775275116</v>
      </c>
    </row>
    <row r="62" spans="1:20" ht="15">
      <c r="A62" s="55" t="s">
        <v>186</v>
      </c>
      <c r="B62" s="55"/>
      <c r="C62" s="55" t="s">
        <v>262</v>
      </c>
      <c r="D62" s="55" t="s">
        <v>379</v>
      </c>
      <c r="E62" s="55" t="s">
        <v>114</v>
      </c>
      <c r="F62" s="55" t="s">
        <v>370</v>
      </c>
      <c r="G62" s="55" t="s">
        <v>374</v>
      </c>
      <c r="H62" s="33" t="s">
        <v>115</v>
      </c>
      <c r="I62" s="56">
        <v>0</v>
      </c>
      <c r="J62" s="108">
        <v>0</v>
      </c>
      <c r="K62" s="108">
        <v>0</v>
      </c>
      <c r="L62" s="108">
        <v>0</v>
      </c>
      <c r="M62" s="33">
        <v>0.03</v>
      </c>
      <c r="N62" s="58">
        <v>20523.71</v>
      </c>
      <c r="O62" s="33">
        <v>0.01</v>
      </c>
      <c r="P62" s="58">
        <v>1109.09</v>
      </c>
      <c r="Q62" s="33">
        <v>0.468</v>
      </c>
      <c r="R62" s="58">
        <v>111166.14</v>
      </c>
      <c r="S62" s="56">
        <v>132798.95</v>
      </c>
      <c r="T62" s="59">
        <v>42598.8775275116</v>
      </c>
    </row>
    <row r="63" spans="1:20" ht="15">
      <c r="A63" s="55" t="s">
        <v>186</v>
      </c>
      <c r="B63" s="55"/>
      <c r="C63" s="55" t="s">
        <v>262</v>
      </c>
      <c r="D63" s="55"/>
      <c r="E63" s="55" t="s">
        <v>116</v>
      </c>
      <c r="F63" s="55" t="s">
        <v>370</v>
      </c>
      <c r="G63" s="55" t="s">
        <v>374</v>
      </c>
      <c r="H63" s="33" t="s">
        <v>117</v>
      </c>
      <c r="I63" s="56">
        <v>0</v>
      </c>
      <c r="J63" s="108">
        <v>0</v>
      </c>
      <c r="K63" s="108">
        <v>0</v>
      </c>
      <c r="L63" s="108">
        <v>0</v>
      </c>
      <c r="M63" s="33">
        <v>0.112</v>
      </c>
      <c r="N63" s="58">
        <v>43857.17</v>
      </c>
      <c r="O63" s="33">
        <v>0.01</v>
      </c>
      <c r="P63" s="58">
        <v>1109.09</v>
      </c>
      <c r="Q63" s="33">
        <v>0.253</v>
      </c>
      <c r="R63" s="58">
        <v>613581.63</v>
      </c>
      <c r="S63" s="56">
        <v>658547.89</v>
      </c>
      <c r="T63" s="59">
        <v>42598.8775275116</v>
      </c>
    </row>
    <row r="64" spans="1:20" ht="15">
      <c r="A64" s="55" t="s">
        <v>186</v>
      </c>
      <c r="B64" s="55"/>
      <c r="C64" s="55" t="s">
        <v>262</v>
      </c>
      <c r="D64" s="55"/>
      <c r="E64" s="55" t="s">
        <v>118</v>
      </c>
      <c r="F64" s="55" t="s">
        <v>370</v>
      </c>
      <c r="G64" s="55" t="s">
        <v>374</v>
      </c>
      <c r="H64" s="33" t="s">
        <v>119</v>
      </c>
      <c r="I64" s="56">
        <v>0</v>
      </c>
      <c r="J64" s="108">
        <v>0</v>
      </c>
      <c r="K64" s="108">
        <v>0</v>
      </c>
      <c r="L64" s="108">
        <v>0</v>
      </c>
      <c r="M64" s="33">
        <v>0.2</v>
      </c>
      <c r="N64" s="58">
        <v>54348.17</v>
      </c>
      <c r="O64" s="33">
        <v>0</v>
      </c>
      <c r="P64" s="58">
        <v>0</v>
      </c>
      <c r="Q64" s="33">
        <v>0.21</v>
      </c>
      <c r="R64" s="58">
        <v>369225.04</v>
      </c>
      <c r="S64" s="56">
        <v>423573.21</v>
      </c>
      <c r="T64" s="59">
        <v>42598.8775275116</v>
      </c>
    </row>
    <row r="65" spans="1:20" ht="15">
      <c r="A65" s="55" t="s">
        <v>186</v>
      </c>
      <c r="B65" s="55"/>
      <c r="C65" s="55" t="s">
        <v>262</v>
      </c>
      <c r="D65" s="55"/>
      <c r="E65" s="55" t="s">
        <v>120</v>
      </c>
      <c r="F65" s="55" t="s">
        <v>370</v>
      </c>
      <c r="G65" s="55" t="s">
        <v>374</v>
      </c>
      <c r="H65" s="33" t="s">
        <v>121</v>
      </c>
      <c r="I65" s="56">
        <v>0</v>
      </c>
      <c r="J65" s="108">
        <v>0</v>
      </c>
      <c r="K65" s="108">
        <v>0</v>
      </c>
      <c r="L65" s="108">
        <v>0</v>
      </c>
      <c r="M65" s="33">
        <v>0.12</v>
      </c>
      <c r="N65" s="58">
        <v>88921.26</v>
      </c>
      <c r="O65" s="33">
        <v>0.2425</v>
      </c>
      <c r="P65" s="58">
        <v>27643.51</v>
      </c>
      <c r="Q65" s="33">
        <v>0.865</v>
      </c>
      <c r="R65" s="58">
        <v>1653025.73</v>
      </c>
      <c r="S65" s="56">
        <v>1769590.5</v>
      </c>
      <c r="T65" s="59">
        <v>42598.8775275116</v>
      </c>
    </row>
    <row r="66" spans="1:20" ht="15">
      <c r="A66" s="55" t="s">
        <v>186</v>
      </c>
      <c r="B66" s="55"/>
      <c r="C66" s="55" t="s">
        <v>262</v>
      </c>
      <c r="D66" s="55"/>
      <c r="E66" s="55" t="s">
        <v>122</v>
      </c>
      <c r="F66" s="55" t="s">
        <v>370</v>
      </c>
      <c r="G66" s="55" t="s">
        <v>374</v>
      </c>
      <c r="H66" s="33" t="s">
        <v>123</v>
      </c>
      <c r="I66" s="56">
        <v>0</v>
      </c>
      <c r="J66" s="108">
        <v>0</v>
      </c>
      <c r="K66" s="108">
        <v>0</v>
      </c>
      <c r="L66" s="108">
        <v>0</v>
      </c>
      <c r="M66" s="33">
        <v>0.1875</v>
      </c>
      <c r="N66" s="58">
        <v>88610.15</v>
      </c>
      <c r="O66" s="33">
        <v>0.24</v>
      </c>
      <c r="P66" s="58">
        <v>29009.7</v>
      </c>
      <c r="Q66" s="33">
        <v>0.5525</v>
      </c>
      <c r="R66" s="58">
        <v>1566193.33</v>
      </c>
      <c r="S66" s="56">
        <v>1683813.18</v>
      </c>
      <c r="T66" s="59">
        <v>42598.8775275116</v>
      </c>
    </row>
    <row r="67" spans="1:20" ht="15">
      <c r="A67" s="55" t="s">
        <v>186</v>
      </c>
      <c r="B67" s="55"/>
      <c r="C67" s="55" t="s">
        <v>262</v>
      </c>
      <c r="D67" s="55"/>
      <c r="E67" s="55" t="s">
        <v>124</v>
      </c>
      <c r="F67" s="55" t="s">
        <v>370</v>
      </c>
      <c r="G67" s="55" t="s">
        <v>374</v>
      </c>
      <c r="H67" s="33" t="s">
        <v>125</v>
      </c>
      <c r="I67" s="56">
        <v>0</v>
      </c>
      <c r="J67" s="108">
        <v>0</v>
      </c>
      <c r="K67" s="108">
        <v>0</v>
      </c>
      <c r="L67" s="108">
        <v>0</v>
      </c>
      <c r="M67" s="33">
        <v>0.192</v>
      </c>
      <c r="N67" s="58">
        <v>76792.58</v>
      </c>
      <c r="O67" s="33">
        <v>0.168</v>
      </c>
      <c r="P67" s="58">
        <v>20445.83</v>
      </c>
      <c r="Q67" s="33">
        <v>0.323</v>
      </c>
      <c r="R67" s="58">
        <v>1037931.39</v>
      </c>
      <c r="S67" s="56">
        <v>1135169.8</v>
      </c>
      <c r="T67" s="59">
        <v>42598.8775275116</v>
      </c>
    </row>
    <row r="68" spans="1:20" ht="15">
      <c r="A68" s="55" t="s">
        <v>186</v>
      </c>
      <c r="B68" s="55"/>
      <c r="C68" s="55" t="s">
        <v>262</v>
      </c>
      <c r="D68" s="55"/>
      <c r="E68" s="55" t="s">
        <v>126</v>
      </c>
      <c r="F68" s="55" t="s">
        <v>370</v>
      </c>
      <c r="G68" s="55" t="s">
        <v>374</v>
      </c>
      <c r="H68" s="33" t="s">
        <v>127</v>
      </c>
      <c r="I68" s="56">
        <v>0</v>
      </c>
      <c r="J68" s="108">
        <v>0</v>
      </c>
      <c r="K68" s="108">
        <v>0</v>
      </c>
      <c r="L68" s="108">
        <v>0</v>
      </c>
      <c r="M68" s="33">
        <v>0.13</v>
      </c>
      <c r="N68" s="58">
        <v>55863.04</v>
      </c>
      <c r="O68" s="33">
        <v>0.1775</v>
      </c>
      <c r="P68" s="58">
        <v>21499.47</v>
      </c>
      <c r="Q68" s="33">
        <v>0.435</v>
      </c>
      <c r="R68" s="58">
        <v>745390.28</v>
      </c>
      <c r="S68" s="56">
        <v>822752.78</v>
      </c>
      <c r="T68" s="59">
        <v>42598.8775275116</v>
      </c>
    </row>
    <row r="69" spans="1:20" ht="15">
      <c r="A69" s="55" t="s">
        <v>186</v>
      </c>
      <c r="B69" s="55"/>
      <c r="C69" s="55" t="s">
        <v>262</v>
      </c>
      <c r="D69" s="55"/>
      <c r="E69" s="55" t="s">
        <v>128</v>
      </c>
      <c r="F69" s="55" t="s">
        <v>370</v>
      </c>
      <c r="G69" s="55" t="s">
        <v>374</v>
      </c>
      <c r="H69" s="33" t="s">
        <v>129</v>
      </c>
      <c r="I69" s="56">
        <v>0</v>
      </c>
      <c r="J69" s="108">
        <v>0</v>
      </c>
      <c r="K69" s="108">
        <v>0</v>
      </c>
      <c r="L69" s="108">
        <v>0</v>
      </c>
      <c r="M69" s="33">
        <v>0.164</v>
      </c>
      <c r="N69" s="58">
        <v>68421.22</v>
      </c>
      <c r="O69" s="33">
        <v>0.0555</v>
      </c>
      <c r="P69" s="58">
        <v>7713.33</v>
      </c>
      <c r="Q69" s="33">
        <v>0.341</v>
      </c>
      <c r="R69" s="58">
        <v>1012712.99</v>
      </c>
      <c r="S69" s="56">
        <v>1088847.54</v>
      </c>
      <c r="T69" s="59">
        <v>42598.8775275116</v>
      </c>
    </row>
    <row r="70" spans="1:20" ht="15">
      <c r="A70" s="55" t="s">
        <v>186</v>
      </c>
      <c r="B70" s="55"/>
      <c r="C70" s="55" t="s">
        <v>262</v>
      </c>
      <c r="D70" s="55"/>
      <c r="E70" s="55" t="s">
        <v>130</v>
      </c>
      <c r="F70" s="55" t="s">
        <v>370</v>
      </c>
      <c r="G70" s="55" t="s">
        <v>374</v>
      </c>
      <c r="H70" s="33" t="s">
        <v>131</v>
      </c>
      <c r="I70" s="56">
        <v>0</v>
      </c>
      <c r="J70" s="108">
        <v>0</v>
      </c>
      <c r="K70" s="108">
        <v>0</v>
      </c>
      <c r="L70" s="108">
        <v>0</v>
      </c>
      <c r="M70" s="33">
        <v>0.089</v>
      </c>
      <c r="N70" s="58">
        <v>31999.84</v>
      </c>
      <c r="O70" s="33">
        <v>0.035</v>
      </c>
      <c r="P70" s="58">
        <v>2873.83</v>
      </c>
      <c r="Q70" s="33">
        <v>0.606</v>
      </c>
      <c r="R70" s="58">
        <v>217831.31</v>
      </c>
      <c r="S70" s="56">
        <v>252704.98</v>
      </c>
      <c r="T70" s="59">
        <v>42598.8775275116</v>
      </c>
    </row>
    <row r="71" spans="1:20" ht="15">
      <c r="A71" s="55" t="s">
        <v>186</v>
      </c>
      <c r="B71" s="55"/>
      <c r="C71" s="55" t="s">
        <v>262</v>
      </c>
      <c r="D71" s="55"/>
      <c r="E71" s="55" t="s">
        <v>132</v>
      </c>
      <c r="F71" s="55" t="s">
        <v>370</v>
      </c>
      <c r="G71" s="55" t="s">
        <v>374</v>
      </c>
      <c r="H71" s="33" t="s">
        <v>133</v>
      </c>
      <c r="I71" s="56">
        <v>0</v>
      </c>
      <c r="J71" s="108">
        <v>0</v>
      </c>
      <c r="K71" s="108">
        <v>0</v>
      </c>
      <c r="L71" s="108">
        <v>0</v>
      </c>
      <c r="M71" s="33">
        <v>0.158</v>
      </c>
      <c r="N71" s="58">
        <v>36487.23</v>
      </c>
      <c r="O71" s="33">
        <v>0.0055</v>
      </c>
      <c r="P71" s="58">
        <v>8610</v>
      </c>
      <c r="Q71" s="33">
        <v>0.277</v>
      </c>
      <c r="R71" s="58">
        <v>234071.23</v>
      </c>
      <c r="S71" s="56">
        <v>279168.46</v>
      </c>
      <c r="T71" s="59">
        <v>42598.8775275116</v>
      </c>
    </row>
    <row r="72" spans="1:20" ht="15">
      <c r="A72" s="55" t="s">
        <v>186</v>
      </c>
      <c r="B72" s="55" t="s">
        <v>261</v>
      </c>
      <c r="C72" s="55" t="s">
        <v>262</v>
      </c>
      <c r="D72" s="55"/>
      <c r="E72" s="55" t="s">
        <v>134</v>
      </c>
      <c r="F72" s="55" t="s">
        <v>368</v>
      </c>
      <c r="G72" s="55" t="s">
        <v>375</v>
      </c>
      <c r="H72" s="33" t="s">
        <v>135</v>
      </c>
      <c r="I72" s="56">
        <v>6278467.63</v>
      </c>
      <c r="J72" s="108">
        <v>2481.4</v>
      </c>
      <c r="K72" s="108">
        <v>8858607</v>
      </c>
      <c r="L72" s="108">
        <v>142046</v>
      </c>
      <c r="M72" s="33">
        <v>0</v>
      </c>
      <c r="N72" s="58">
        <v>6229.14</v>
      </c>
      <c r="O72" s="33">
        <v>0</v>
      </c>
      <c r="P72" s="58">
        <v>200000</v>
      </c>
      <c r="Q72" s="33">
        <v>0.72</v>
      </c>
      <c r="R72" s="58">
        <v>1119537.93</v>
      </c>
      <c r="S72" s="56">
        <v>7604234.69</v>
      </c>
      <c r="T72" s="59">
        <v>42598.8775275116</v>
      </c>
    </row>
    <row r="73" spans="1:20" ht="15">
      <c r="A73" s="55" t="s">
        <v>186</v>
      </c>
      <c r="B73" s="55"/>
      <c r="C73" s="55"/>
      <c r="D73" s="55"/>
      <c r="E73" s="55" t="s">
        <v>136</v>
      </c>
      <c r="F73" s="55" t="s">
        <v>327</v>
      </c>
      <c r="G73" s="55" t="s">
        <v>375</v>
      </c>
      <c r="H73" s="33" t="s">
        <v>137</v>
      </c>
      <c r="I73" s="56">
        <v>0</v>
      </c>
      <c r="J73" s="108">
        <v>0</v>
      </c>
      <c r="K73" s="108">
        <v>0</v>
      </c>
      <c r="L73" s="108">
        <v>0</v>
      </c>
      <c r="M73" s="33">
        <v>0.02</v>
      </c>
      <c r="N73" s="58">
        <v>5078.87</v>
      </c>
      <c r="O73" s="33">
        <v>0</v>
      </c>
      <c r="P73" s="58">
        <v>0</v>
      </c>
      <c r="Q73" s="33">
        <v>0.06</v>
      </c>
      <c r="R73" s="58">
        <v>61796.64</v>
      </c>
      <c r="S73" s="56">
        <v>66875.5</v>
      </c>
      <c r="T73" s="59">
        <v>42598.8775275116</v>
      </c>
    </row>
    <row r="74" spans="1:20" ht="15">
      <c r="A74" s="55" t="s">
        <v>186</v>
      </c>
      <c r="B74" s="55" t="s">
        <v>261</v>
      </c>
      <c r="C74" s="55" t="s">
        <v>262</v>
      </c>
      <c r="D74" s="55"/>
      <c r="E74" s="55" t="s">
        <v>138</v>
      </c>
      <c r="F74" s="55" t="s">
        <v>368</v>
      </c>
      <c r="G74" s="55" t="s">
        <v>374</v>
      </c>
      <c r="H74" s="33" t="s">
        <v>302</v>
      </c>
      <c r="I74" s="56">
        <v>0</v>
      </c>
      <c r="J74" s="108">
        <v>0</v>
      </c>
      <c r="K74" s="108">
        <v>0</v>
      </c>
      <c r="L74" s="108">
        <v>0</v>
      </c>
      <c r="M74" s="33">
        <v>0</v>
      </c>
      <c r="N74" s="58">
        <v>100000</v>
      </c>
      <c r="O74" s="33">
        <v>0</v>
      </c>
      <c r="P74" s="58">
        <v>60000</v>
      </c>
      <c r="Q74" s="33">
        <v>0</v>
      </c>
      <c r="R74" s="58">
        <v>840000</v>
      </c>
      <c r="S74" s="56">
        <v>1000000</v>
      </c>
      <c r="T74" s="59">
        <v>42598.8775275116</v>
      </c>
    </row>
    <row r="75" spans="1:20" ht="15">
      <c r="A75" s="55" t="s">
        <v>186</v>
      </c>
      <c r="B75" s="55"/>
      <c r="C75" s="55"/>
      <c r="D75" s="55"/>
      <c r="E75" s="55" t="s">
        <v>139</v>
      </c>
      <c r="F75" s="55" t="s">
        <v>327</v>
      </c>
      <c r="G75" s="55" t="s">
        <v>374</v>
      </c>
      <c r="H75" s="33" t="s">
        <v>303</v>
      </c>
      <c r="I75" s="56">
        <v>0</v>
      </c>
      <c r="J75" s="108">
        <v>0</v>
      </c>
      <c r="K75" s="108">
        <v>0</v>
      </c>
      <c r="L75" s="108">
        <v>0</v>
      </c>
      <c r="M75" s="33">
        <v>0</v>
      </c>
      <c r="N75" s="58">
        <v>14811.01</v>
      </c>
      <c r="O75" s="33">
        <v>0</v>
      </c>
      <c r="P75" s="58">
        <v>0</v>
      </c>
      <c r="Q75" s="33">
        <v>0.57</v>
      </c>
      <c r="R75" s="58">
        <v>135722.02</v>
      </c>
      <c r="S75" s="56">
        <v>150533.03</v>
      </c>
      <c r="T75" s="59">
        <v>42598.8775275116</v>
      </c>
    </row>
    <row r="76" spans="1:20" ht="15">
      <c r="A76" s="55" t="s">
        <v>186</v>
      </c>
      <c r="B76" s="55"/>
      <c r="C76" s="55" t="s">
        <v>262</v>
      </c>
      <c r="D76" s="55"/>
      <c r="E76" s="55" t="s">
        <v>140</v>
      </c>
      <c r="F76" s="55" t="s">
        <v>371</v>
      </c>
      <c r="G76" s="55" t="s">
        <v>374</v>
      </c>
      <c r="H76" s="33" t="s">
        <v>141</v>
      </c>
      <c r="I76" s="56">
        <v>0</v>
      </c>
      <c r="J76" s="108">
        <v>0</v>
      </c>
      <c r="K76" s="108">
        <v>0</v>
      </c>
      <c r="L76" s="108">
        <v>0</v>
      </c>
      <c r="M76" s="33">
        <v>0</v>
      </c>
      <c r="N76" s="58">
        <v>4658311</v>
      </c>
      <c r="O76" s="33">
        <v>0</v>
      </c>
      <c r="P76" s="58">
        <v>0</v>
      </c>
      <c r="Q76" s="33">
        <v>0</v>
      </c>
      <c r="R76" s="58">
        <v>0</v>
      </c>
      <c r="S76" s="56">
        <v>4658311</v>
      </c>
      <c r="T76" s="59">
        <v>42598.8775275116</v>
      </c>
    </row>
    <row r="77" spans="1:20" ht="15">
      <c r="A77" s="55" t="s">
        <v>186</v>
      </c>
      <c r="B77" s="55"/>
      <c r="C77" s="55" t="s">
        <v>262</v>
      </c>
      <c r="D77" s="55"/>
      <c r="E77" s="55" t="s">
        <v>142</v>
      </c>
      <c r="F77" s="55" t="s">
        <v>367</v>
      </c>
      <c r="G77" s="55" t="s">
        <v>374</v>
      </c>
      <c r="H77" s="33" t="s">
        <v>143</v>
      </c>
      <c r="I77" s="56">
        <v>0</v>
      </c>
      <c r="J77" s="108">
        <v>0</v>
      </c>
      <c r="K77" s="108">
        <v>0</v>
      </c>
      <c r="L77" s="108">
        <v>0</v>
      </c>
      <c r="M77" s="33">
        <v>0.8</v>
      </c>
      <c r="N77" s="58">
        <v>145325.93</v>
      </c>
      <c r="O77" s="33">
        <v>0</v>
      </c>
      <c r="P77" s="58">
        <v>0</v>
      </c>
      <c r="Q77" s="33">
        <v>0.8</v>
      </c>
      <c r="R77" s="58">
        <v>246488.06</v>
      </c>
      <c r="S77" s="56">
        <v>391813.99</v>
      </c>
      <c r="T77" s="59">
        <v>42598.8775275116</v>
      </c>
    </row>
    <row r="78" spans="1:20" ht="15">
      <c r="A78" s="55" t="s">
        <v>186</v>
      </c>
      <c r="B78" s="55"/>
      <c r="C78" s="55"/>
      <c r="D78" s="55"/>
      <c r="E78" s="55" t="s">
        <v>152</v>
      </c>
      <c r="F78" s="55" t="s">
        <v>212</v>
      </c>
      <c r="G78" s="55" t="s">
        <v>374</v>
      </c>
      <c r="H78" s="33" t="s">
        <v>153</v>
      </c>
      <c r="I78" s="56">
        <v>0</v>
      </c>
      <c r="J78" s="108">
        <v>0</v>
      </c>
      <c r="K78" s="108">
        <v>0</v>
      </c>
      <c r="L78" s="108">
        <v>0</v>
      </c>
      <c r="M78" s="33">
        <v>4.75</v>
      </c>
      <c r="N78" s="58">
        <v>1067414.36</v>
      </c>
      <c r="O78" s="33">
        <v>0</v>
      </c>
      <c r="P78" s="58">
        <v>0</v>
      </c>
      <c r="Q78" s="33">
        <v>0</v>
      </c>
      <c r="R78" s="58">
        <v>0</v>
      </c>
      <c r="S78" s="56">
        <v>1067414.36</v>
      </c>
      <c r="T78" s="59">
        <v>42598.8775275116</v>
      </c>
    </row>
    <row r="79" spans="1:20" ht="15">
      <c r="A79" s="55" t="s">
        <v>186</v>
      </c>
      <c r="B79" s="55" t="s">
        <v>261</v>
      </c>
      <c r="C79" s="55" t="s">
        <v>262</v>
      </c>
      <c r="D79" s="55"/>
      <c r="E79" s="55" t="s">
        <v>154</v>
      </c>
      <c r="F79" s="55" t="s">
        <v>368</v>
      </c>
      <c r="G79" s="55" t="s">
        <v>374</v>
      </c>
      <c r="H79" s="33" t="s">
        <v>155</v>
      </c>
      <c r="I79" s="56">
        <v>0</v>
      </c>
      <c r="J79" s="108">
        <v>0</v>
      </c>
      <c r="K79" s="108">
        <v>0</v>
      </c>
      <c r="L79" s="108">
        <v>0</v>
      </c>
      <c r="M79" s="33">
        <v>0</v>
      </c>
      <c r="N79" s="58">
        <v>14000</v>
      </c>
      <c r="O79" s="33">
        <v>0</v>
      </c>
      <c r="P79" s="58">
        <v>8400</v>
      </c>
      <c r="Q79" s="33">
        <v>0</v>
      </c>
      <c r="R79" s="58">
        <v>140000</v>
      </c>
      <c r="S79" s="56">
        <v>162400</v>
      </c>
      <c r="T79" s="59">
        <v>42598.8775275116</v>
      </c>
    </row>
    <row r="80" spans="1:20" ht="15">
      <c r="A80" s="55" t="s">
        <v>186</v>
      </c>
      <c r="B80" s="55"/>
      <c r="C80" s="55"/>
      <c r="D80" s="55"/>
      <c r="E80" s="55" t="s">
        <v>156</v>
      </c>
      <c r="F80" s="55" t="s">
        <v>328</v>
      </c>
      <c r="G80" s="55" t="s">
        <v>374</v>
      </c>
      <c r="H80" s="33" t="s">
        <v>157</v>
      </c>
      <c r="I80" s="56">
        <v>0</v>
      </c>
      <c r="J80" s="108">
        <v>0</v>
      </c>
      <c r="K80" s="108">
        <v>0</v>
      </c>
      <c r="L80" s="108">
        <v>0</v>
      </c>
      <c r="M80" s="33">
        <v>0</v>
      </c>
      <c r="N80" s="58">
        <v>7089.57</v>
      </c>
      <c r="O80" s="33">
        <v>0</v>
      </c>
      <c r="P80" s="58">
        <v>0</v>
      </c>
      <c r="Q80" s="33">
        <v>0.54</v>
      </c>
      <c r="R80" s="58">
        <v>54254.59</v>
      </c>
      <c r="S80" s="56">
        <v>61344.16</v>
      </c>
      <c r="T80" s="59">
        <v>42598.8775275116</v>
      </c>
    </row>
    <row r="81" spans="1:20" ht="15">
      <c r="A81" s="55" t="s">
        <v>186</v>
      </c>
      <c r="B81" s="55" t="s">
        <v>261</v>
      </c>
      <c r="C81" s="55" t="s">
        <v>262</v>
      </c>
      <c r="D81" s="55"/>
      <c r="E81" s="55" t="s">
        <v>158</v>
      </c>
      <c r="F81" s="55" t="s">
        <v>368</v>
      </c>
      <c r="G81" s="55" t="s">
        <v>374</v>
      </c>
      <c r="H81" s="33" t="s">
        <v>159</v>
      </c>
      <c r="I81" s="56">
        <v>0</v>
      </c>
      <c r="J81" s="108">
        <v>0</v>
      </c>
      <c r="K81" s="108">
        <v>0</v>
      </c>
      <c r="L81" s="108">
        <v>0</v>
      </c>
      <c r="M81" s="33">
        <v>0</v>
      </c>
      <c r="N81" s="58">
        <v>14033</v>
      </c>
      <c r="O81" s="33">
        <v>0</v>
      </c>
      <c r="P81" s="58">
        <v>8420</v>
      </c>
      <c r="Q81" s="33">
        <v>0</v>
      </c>
      <c r="R81" s="58">
        <v>117880</v>
      </c>
      <c r="S81" s="56">
        <v>140333</v>
      </c>
      <c r="T81" s="59">
        <v>42598.8775275116</v>
      </c>
    </row>
    <row r="82" spans="1:20" ht="15">
      <c r="A82" s="55" t="s">
        <v>186</v>
      </c>
      <c r="B82" s="55"/>
      <c r="C82" s="55"/>
      <c r="D82" s="55"/>
      <c r="E82" s="55" t="s">
        <v>160</v>
      </c>
      <c r="F82" s="55" t="s">
        <v>343</v>
      </c>
      <c r="G82" s="55" t="s">
        <v>374</v>
      </c>
      <c r="H82" s="33" t="s">
        <v>161</v>
      </c>
      <c r="I82" s="56">
        <v>0</v>
      </c>
      <c r="J82" s="108">
        <v>0</v>
      </c>
      <c r="K82" s="108">
        <v>0</v>
      </c>
      <c r="L82" s="108">
        <v>0</v>
      </c>
      <c r="M82" s="33">
        <v>0</v>
      </c>
      <c r="N82" s="58">
        <v>4961.94</v>
      </c>
      <c r="O82" s="33">
        <v>0</v>
      </c>
      <c r="P82" s="58">
        <v>0</v>
      </c>
      <c r="Q82" s="33">
        <v>0.38</v>
      </c>
      <c r="R82" s="58">
        <v>37972.39</v>
      </c>
      <c r="S82" s="56">
        <v>42934.33</v>
      </c>
      <c r="T82" s="59">
        <v>42598.8775275116</v>
      </c>
    </row>
    <row r="83" spans="1:20" ht="15">
      <c r="A83" s="55" t="s">
        <v>186</v>
      </c>
      <c r="B83" s="55"/>
      <c r="C83" s="55"/>
      <c r="D83" s="55"/>
      <c r="E83" s="55" t="s">
        <v>162</v>
      </c>
      <c r="F83" s="55" t="s">
        <v>327</v>
      </c>
      <c r="G83" s="55" t="s">
        <v>374</v>
      </c>
      <c r="H83" s="33" t="s">
        <v>163</v>
      </c>
      <c r="I83" s="56">
        <v>0</v>
      </c>
      <c r="J83" s="108">
        <v>0</v>
      </c>
      <c r="K83" s="108">
        <v>0</v>
      </c>
      <c r="L83" s="108">
        <v>0</v>
      </c>
      <c r="M83" s="33">
        <v>0</v>
      </c>
      <c r="N83" s="58">
        <v>7563.01</v>
      </c>
      <c r="O83" s="33">
        <v>0</v>
      </c>
      <c r="P83" s="58">
        <v>0</v>
      </c>
      <c r="Q83" s="33">
        <v>0.11</v>
      </c>
      <c r="R83" s="58">
        <v>110191.85</v>
      </c>
      <c r="S83" s="56">
        <v>117754.86</v>
      </c>
      <c r="T83" s="59">
        <v>42598.8775275116</v>
      </c>
    </row>
    <row r="84" spans="1:20" ht="15">
      <c r="A84" s="55" t="s">
        <v>186</v>
      </c>
      <c r="B84" s="55"/>
      <c r="C84" s="55" t="s">
        <v>262</v>
      </c>
      <c r="D84" s="55" t="s">
        <v>379</v>
      </c>
      <c r="E84" s="55" t="s">
        <v>166</v>
      </c>
      <c r="F84" s="55" t="s">
        <v>331</v>
      </c>
      <c r="G84" s="55" t="s">
        <v>374</v>
      </c>
      <c r="H84" s="33" t="s">
        <v>167</v>
      </c>
      <c r="I84" s="56">
        <v>0</v>
      </c>
      <c r="J84" s="108">
        <v>0</v>
      </c>
      <c r="K84" s="108">
        <v>0</v>
      </c>
      <c r="L84" s="108">
        <v>0</v>
      </c>
      <c r="M84" s="33">
        <v>0</v>
      </c>
      <c r="N84" s="58">
        <v>4252.05</v>
      </c>
      <c r="O84" s="33">
        <v>0</v>
      </c>
      <c r="P84" s="58">
        <v>0</v>
      </c>
      <c r="Q84" s="33">
        <v>0.1453</v>
      </c>
      <c r="R84" s="58">
        <v>16302.6</v>
      </c>
      <c r="S84" s="56">
        <v>20554.65</v>
      </c>
      <c r="T84" s="59">
        <v>42598.8775275116</v>
      </c>
    </row>
    <row r="85" spans="1:20" ht="15">
      <c r="A85" s="55" t="s">
        <v>186</v>
      </c>
      <c r="B85" s="55"/>
      <c r="C85" s="55" t="s">
        <v>262</v>
      </c>
      <c r="D85" s="55" t="s">
        <v>379</v>
      </c>
      <c r="E85" s="55" t="s">
        <v>304</v>
      </c>
      <c r="F85" s="55" t="s">
        <v>331</v>
      </c>
      <c r="G85" s="55" t="s">
        <v>374</v>
      </c>
      <c r="H85" s="33" t="s">
        <v>305</v>
      </c>
      <c r="I85" s="56">
        <v>0</v>
      </c>
      <c r="J85" s="108">
        <v>0</v>
      </c>
      <c r="K85" s="108">
        <v>0</v>
      </c>
      <c r="L85" s="108">
        <v>0</v>
      </c>
      <c r="M85" s="33">
        <v>0</v>
      </c>
      <c r="N85" s="58">
        <v>2905</v>
      </c>
      <c r="O85" s="33">
        <v>0</v>
      </c>
      <c r="P85" s="58">
        <v>0</v>
      </c>
      <c r="Q85" s="33">
        <v>0</v>
      </c>
      <c r="R85" s="58">
        <v>83000</v>
      </c>
      <c r="S85" s="56">
        <v>85905</v>
      </c>
      <c r="T85" s="59">
        <v>42598.8775275116</v>
      </c>
    </row>
    <row r="86" spans="1:20" ht="15">
      <c r="A86" s="55" t="s">
        <v>186</v>
      </c>
      <c r="B86" s="55"/>
      <c r="C86" s="55" t="s">
        <v>262</v>
      </c>
      <c r="D86" s="55" t="s">
        <v>379</v>
      </c>
      <c r="E86" s="55" t="s">
        <v>168</v>
      </c>
      <c r="F86" s="55" t="s">
        <v>331</v>
      </c>
      <c r="G86" s="55" t="s">
        <v>374</v>
      </c>
      <c r="H86" s="33" t="s">
        <v>169</v>
      </c>
      <c r="I86" s="56">
        <v>0</v>
      </c>
      <c r="J86" s="108">
        <v>0</v>
      </c>
      <c r="K86" s="108">
        <v>0</v>
      </c>
      <c r="L86" s="108">
        <v>0</v>
      </c>
      <c r="M86" s="33">
        <v>0</v>
      </c>
      <c r="N86" s="58">
        <v>4252.05</v>
      </c>
      <c r="O86" s="33">
        <v>0</v>
      </c>
      <c r="P86" s="58">
        <v>0</v>
      </c>
      <c r="Q86" s="33">
        <v>0.1453</v>
      </c>
      <c r="R86" s="58">
        <v>16302.6</v>
      </c>
      <c r="S86" s="56">
        <v>20554.65</v>
      </c>
      <c r="T86" s="59">
        <v>42598.8775275116</v>
      </c>
    </row>
    <row r="87" spans="1:20" ht="15">
      <c r="A87" s="55" t="s">
        <v>186</v>
      </c>
      <c r="B87" s="55"/>
      <c r="C87" s="55" t="s">
        <v>262</v>
      </c>
      <c r="D87" s="55" t="s">
        <v>379</v>
      </c>
      <c r="E87" s="55" t="s">
        <v>306</v>
      </c>
      <c r="F87" s="55" t="s">
        <v>331</v>
      </c>
      <c r="G87" s="55" t="s">
        <v>374</v>
      </c>
      <c r="H87" s="33" t="s">
        <v>307</v>
      </c>
      <c r="I87" s="56">
        <v>0</v>
      </c>
      <c r="J87" s="108">
        <v>0</v>
      </c>
      <c r="K87" s="108">
        <v>0</v>
      </c>
      <c r="L87" s="108">
        <v>0</v>
      </c>
      <c r="M87" s="33">
        <v>0</v>
      </c>
      <c r="N87" s="58">
        <v>25550</v>
      </c>
      <c r="O87" s="33">
        <v>0</v>
      </c>
      <c r="P87" s="58">
        <v>0</v>
      </c>
      <c r="Q87" s="33">
        <v>0</v>
      </c>
      <c r="R87" s="58">
        <v>730000</v>
      </c>
      <c r="S87" s="56">
        <v>755550</v>
      </c>
      <c r="T87" s="59">
        <v>42598.8775275116</v>
      </c>
    </row>
    <row r="88" spans="1:20" ht="15">
      <c r="A88" s="55" t="s">
        <v>186</v>
      </c>
      <c r="B88" s="55"/>
      <c r="C88" s="55" t="s">
        <v>262</v>
      </c>
      <c r="D88" s="55" t="s">
        <v>379</v>
      </c>
      <c r="E88" s="55" t="s">
        <v>170</v>
      </c>
      <c r="F88" s="55" t="s">
        <v>331</v>
      </c>
      <c r="G88" s="55" t="s">
        <v>374</v>
      </c>
      <c r="H88" s="33" t="s">
        <v>171</v>
      </c>
      <c r="I88" s="56">
        <v>0</v>
      </c>
      <c r="J88" s="108">
        <v>0</v>
      </c>
      <c r="K88" s="108">
        <v>0</v>
      </c>
      <c r="L88" s="108">
        <v>0</v>
      </c>
      <c r="M88" s="33">
        <v>0</v>
      </c>
      <c r="N88" s="58">
        <v>4252.05</v>
      </c>
      <c r="O88" s="33">
        <v>0</v>
      </c>
      <c r="P88" s="58">
        <v>0</v>
      </c>
      <c r="Q88" s="33">
        <v>0.1453</v>
      </c>
      <c r="R88" s="58">
        <v>16302.6</v>
      </c>
      <c r="S88" s="56">
        <v>20554.65</v>
      </c>
      <c r="T88" s="59">
        <v>42598.8775275116</v>
      </c>
    </row>
    <row r="89" spans="1:20" ht="15">
      <c r="A89" s="55" t="s">
        <v>186</v>
      </c>
      <c r="B89" s="55"/>
      <c r="C89" s="55" t="s">
        <v>262</v>
      </c>
      <c r="D89" s="55" t="s">
        <v>379</v>
      </c>
      <c r="E89" s="55" t="s">
        <v>172</v>
      </c>
      <c r="F89" s="55" t="s">
        <v>331</v>
      </c>
      <c r="G89" s="55" t="s">
        <v>374</v>
      </c>
      <c r="H89" s="33" t="s">
        <v>173</v>
      </c>
      <c r="I89" s="56">
        <v>0</v>
      </c>
      <c r="J89" s="108">
        <v>0</v>
      </c>
      <c r="K89" s="108">
        <v>0</v>
      </c>
      <c r="L89" s="108">
        <v>0</v>
      </c>
      <c r="M89" s="33">
        <v>0</v>
      </c>
      <c r="N89" s="58">
        <v>4252.05</v>
      </c>
      <c r="O89" s="33">
        <v>0</v>
      </c>
      <c r="P89" s="58">
        <v>0</v>
      </c>
      <c r="Q89" s="33">
        <v>0.1453</v>
      </c>
      <c r="R89" s="58">
        <v>16302.6</v>
      </c>
      <c r="S89" s="56">
        <v>20554.65</v>
      </c>
      <c r="T89" s="59">
        <v>42598.8775275116</v>
      </c>
    </row>
    <row r="90" spans="1:20" ht="15">
      <c r="A90" s="55" t="s">
        <v>186</v>
      </c>
      <c r="B90" s="55"/>
      <c r="C90" s="55" t="s">
        <v>262</v>
      </c>
      <c r="D90" s="55" t="s">
        <v>379</v>
      </c>
      <c r="E90" s="55" t="s">
        <v>308</v>
      </c>
      <c r="F90" s="55" t="s">
        <v>331</v>
      </c>
      <c r="G90" s="55" t="s">
        <v>374</v>
      </c>
      <c r="H90" s="33" t="s">
        <v>309</v>
      </c>
      <c r="I90" s="56">
        <v>0</v>
      </c>
      <c r="J90" s="108">
        <v>0</v>
      </c>
      <c r="K90" s="108">
        <v>0</v>
      </c>
      <c r="L90" s="108">
        <v>0</v>
      </c>
      <c r="M90" s="33">
        <v>0</v>
      </c>
      <c r="N90" s="58">
        <v>8750</v>
      </c>
      <c r="O90" s="33">
        <v>0</v>
      </c>
      <c r="P90" s="58">
        <v>0</v>
      </c>
      <c r="Q90" s="33">
        <v>0</v>
      </c>
      <c r="R90" s="58">
        <v>250000</v>
      </c>
      <c r="S90" s="56">
        <v>258750</v>
      </c>
      <c r="T90" s="59">
        <v>42598.8775275116</v>
      </c>
    </row>
    <row r="91" spans="1:20" ht="15">
      <c r="A91" s="55" t="s">
        <v>186</v>
      </c>
      <c r="B91" s="55"/>
      <c r="C91" s="55" t="s">
        <v>262</v>
      </c>
      <c r="D91" s="55" t="s">
        <v>379</v>
      </c>
      <c r="E91" s="55" t="s">
        <v>174</v>
      </c>
      <c r="F91" s="55" t="s">
        <v>331</v>
      </c>
      <c r="G91" s="55" t="s">
        <v>374</v>
      </c>
      <c r="H91" s="33" t="s">
        <v>175</v>
      </c>
      <c r="I91" s="56">
        <v>0</v>
      </c>
      <c r="J91" s="108">
        <v>0</v>
      </c>
      <c r="K91" s="108">
        <v>0</v>
      </c>
      <c r="L91" s="108">
        <v>0</v>
      </c>
      <c r="M91" s="33">
        <v>0</v>
      </c>
      <c r="N91" s="58">
        <v>4252.05</v>
      </c>
      <c r="O91" s="33">
        <v>0</v>
      </c>
      <c r="P91" s="58">
        <v>0</v>
      </c>
      <c r="Q91" s="33">
        <v>0.1453</v>
      </c>
      <c r="R91" s="58">
        <v>16302.6</v>
      </c>
      <c r="S91" s="56">
        <v>20554.65</v>
      </c>
      <c r="T91" s="59">
        <v>42598.8775275116</v>
      </c>
    </row>
    <row r="92" spans="1:20" ht="15">
      <c r="A92" s="55" t="s">
        <v>186</v>
      </c>
      <c r="B92" s="55"/>
      <c r="C92" s="55" t="s">
        <v>262</v>
      </c>
      <c r="D92" s="55" t="s">
        <v>379</v>
      </c>
      <c r="E92" s="55" t="s">
        <v>310</v>
      </c>
      <c r="F92" s="55" t="s">
        <v>331</v>
      </c>
      <c r="G92" s="55" t="s">
        <v>374</v>
      </c>
      <c r="H92" s="33" t="s">
        <v>311</v>
      </c>
      <c r="I92" s="56">
        <v>0</v>
      </c>
      <c r="J92" s="108">
        <v>0</v>
      </c>
      <c r="K92" s="108">
        <v>0</v>
      </c>
      <c r="L92" s="108">
        <v>0</v>
      </c>
      <c r="M92" s="33">
        <v>0</v>
      </c>
      <c r="N92" s="58">
        <v>2905</v>
      </c>
      <c r="O92" s="33">
        <v>0</v>
      </c>
      <c r="P92" s="58">
        <v>0</v>
      </c>
      <c r="Q92" s="33">
        <v>0</v>
      </c>
      <c r="R92" s="58">
        <v>83000</v>
      </c>
      <c r="S92" s="56">
        <v>85905</v>
      </c>
      <c r="T92" s="59">
        <v>42598.8775275116</v>
      </c>
    </row>
    <row r="93" spans="1:20" ht="15">
      <c r="A93" s="55" t="s">
        <v>186</v>
      </c>
      <c r="B93" s="55"/>
      <c r="C93" s="55" t="s">
        <v>262</v>
      </c>
      <c r="D93" s="55" t="s">
        <v>379</v>
      </c>
      <c r="E93" s="55" t="s">
        <v>176</v>
      </c>
      <c r="F93" s="55" t="s">
        <v>331</v>
      </c>
      <c r="G93" s="55" t="s">
        <v>374</v>
      </c>
      <c r="H93" s="33" t="s">
        <v>177</v>
      </c>
      <c r="I93" s="56">
        <v>0</v>
      </c>
      <c r="J93" s="108">
        <v>0</v>
      </c>
      <c r="K93" s="108">
        <v>0</v>
      </c>
      <c r="L93" s="108">
        <v>0</v>
      </c>
      <c r="M93" s="33">
        <v>0</v>
      </c>
      <c r="N93" s="58">
        <v>4252.05</v>
      </c>
      <c r="O93" s="33">
        <v>0</v>
      </c>
      <c r="P93" s="58">
        <v>0</v>
      </c>
      <c r="Q93" s="33">
        <v>0.1453</v>
      </c>
      <c r="R93" s="58">
        <v>16302.6</v>
      </c>
      <c r="S93" s="56">
        <v>20554.65</v>
      </c>
      <c r="T93" s="59">
        <v>42598.8775275116</v>
      </c>
    </row>
    <row r="94" spans="1:20" ht="15">
      <c r="A94" s="55" t="s">
        <v>186</v>
      </c>
      <c r="B94" s="55"/>
      <c r="C94" s="55" t="s">
        <v>262</v>
      </c>
      <c r="D94" s="55" t="s">
        <v>379</v>
      </c>
      <c r="E94" s="55" t="s">
        <v>312</v>
      </c>
      <c r="F94" s="55" t="s">
        <v>331</v>
      </c>
      <c r="G94" s="55" t="s">
        <v>374</v>
      </c>
      <c r="H94" s="33" t="s">
        <v>313</v>
      </c>
      <c r="I94" s="56">
        <v>0</v>
      </c>
      <c r="J94" s="108">
        <v>0</v>
      </c>
      <c r="K94" s="108">
        <v>0</v>
      </c>
      <c r="L94" s="108">
        <v>0</v>
      </c>
      <c r="M94" s="33">
        <v>0</v>
      </c>
      <c r="N94" s="58">
        <v>2940</v>
      </c>
      <c r="O94" s="33">
        <v>0</v>
      </c>
      <c r="P94" s="58">
        <v>0</v>
      </c>
      <c r="Q94" s="33">
        <v>0</v>
      </c>
      <c r="R94" s="58">
        <v>84000</v>
      </c>
      <c r="S94" s="56">
        <v>86940</v>
      </c>
      <c r="T94" s="59">
        <v>42598.8775275116</v>
      </c>
    </row>
    <row r="95" spans="1:20" ht="15">
      <c r="A95" s="55" t="s">
        <v>186</v>
      </c>
      <c r="B95" s="55"/>
      <c r="C95" s="55"/>
      <c r="D95" s="55" t="s">
        <v>379</v>
      </c>
      <c r="E95" s="55" t="s">
        <v>178</v>
      </c>
      <c r="F95" s="55" t="s">
        <v>327</v>
      </c>
      <c r="G95" s="55" t="s">
        <v>375</v>
      </c>
      <c r="H95" s="33" t="s">
        <v>179</v>
      </c>
      <c r="I95" s="56">
        <v>20792</v>
      </c>
      <c r="J95" s="108">
        <v>1.2</v>
      </c>
      <c r="K95" s="108">
        <v>1374</v>
      </c>
      <c r="L95" s="108">
        <v>1367</v>
      </c>
      <c r="M95" s="33">
        <v>0.01</v>
      </c>
      <c r="N95" s="58">
        <v>13232.62</v>
      </c>
      <c r="O95" s="33">
        <v>0</v>
      </c>
      <c r="P95" s="58">
        <v>3930</v>
      </c>
      <c r="Q95" s="33">
        <v>0.14</v>
      </c>
      <c r="R95" s="58">
        <v>49533.63</v>
      </c>
      <c r="S95" s="56">
        <v>87488.24</v>
      </c>
      <c r="T95" s="59">
        <v>42598.8775275116</v>
      </c>
    </row>
    <row r="96" spans="1:20" ht="15">
      <c r="A96" s="55" t="s">
        <v>186</v>
      </c>
      <c r="B96" s="55"/>
      <c r="C96" s="55"/>
      <c r="D96" s="55"/>
      <c r="E96" s="55" t="s">
        <v>180</v>
      </c>
      <c r="F96" s="55" t="s">
        <v>327</v>
      </c>
      <c r="G96" s="55" t="s">
        <v>374</v>
      </c>
      <c r="H96" s="33" t="s">
        <v>181</v>
      </c>
      <c r="I96" s="56">
        <v>0</v>
      </c>
      <c r="J96" s="108">
        <v>0</v>
      </c>
      <c r="K96" s="108">
        <v>0</v>
      </c>
      <c r="L96" s="108">
        <v>0</v>
      </c>
      <c r="M96" s="33">
        <v>0.01</v>
      </c>
      <c r="N96" s="58">
        <v>7391.53</v>
      </c>
      <c r="O96" s="33">
        <v>0</v>
      </c>
      <c r="P96" s="58">
        <v>20117</v>
      </c>
      <c r="Q96" s="33">
        <v>0.24</v>
      </c>
      <c r="R96" s="58">
        <v>40773.13</v>
      </c>
      <c r="S96" s="56">
        <v>68281.65</v>
      </c>
      <c r="T96" s="59">
        <v>42598.8775275116</v>
      </c>
    </row>
    <row r="97" spans="1:20" ht="15">
      <c r="A97" s="55" t="s">
        <v>186</v>
      </c>
      <c r="B97" s="55" t="s">
        <v>261</v>
      </c>
      <c r="C97" s="55"/>
      <c r="D97" s="55"/>
      <c r="E97" s="55" t="s">
        <v>272</v>
      </c>
      <c r="F97" s="55" t="s">
        <v>368</v>
      </c>
      <c r="G97" s="55" t="s">
        <v>375</v>
      </c>
      <c r="H97" s="33" t="s">
        <v>273</v>
      </c>
      <c r="I97" s="56">
        <v>85750</v>
      </c>
      <c r="J97" s="108">
        <v>514.5</v>
      </c>
      <c r="K97" s="108">
        <v>1295560</v>
      </c>
      <c r="L97" s="108">
        <v>0</v>
      </c>
      <c r="M97" s="33">
        <v>0</v>
      </c>
      <c r="N97" s="58">
        <v>10287</v>
      </c>
      <c r="O97" s="33">
        <v>0</v>
      </c>
      <c r="P97" s="58">
        <v>16165</v>
      </c>
      <c r="Q97" s="33">
        <v>0</v>
      </c>
      <c r="R97" s="58">
        <v>37473</v>
      </c>
      <c r="S97" s="56">
        <v>149675</v>
      </c>
      <c r="T97" s="59">
        <v>42598.8775275116</v>
      </c>
    </row>
    <row r="98" spans="1:20" ht="15">
      <c r="A98" s="55" t="s">
        <v>186</v>
      </c>
      <c r="B98" s="55"/>
      <c r="C98" s="55"/>
      <c r="D98" s="55"/>
      <c r="E98" s="55" t="s">
        <v>274</v>
      </c>
      <c r="F98" s="55" t="s">
        <v>328</v>
      </c>
      <c r="G98" s="55" t="s">
        <v>375</v>
      </c>
      <c r="H98" s="33" t="s">
        <v>275</v>
      </c>
      <c r="I98" s="56">
        <v>0</v>
      </c>
      <c r="J98" s="108">
        <v>0</v>
      </c>
      <c r="K98" s="108">
        <v>0</v>
      </c>
      <c r="L98" s="108">
        <v>0</v>
      </c>
      <c r="M98" s="33">
        <v>0</v>
      </c>
      <c r="N98" s="58">
        <v>7477.18</v>
      </c>
      <c r="O98" s="33">
        <v>0.01</v>
      </c>
      <c r="P98" s="58">
        <v>930.19</v>
      </c>
      <c r="Q98" s="33">
        <v>0.47</v>
      </c>
      <c r="R98" s="58">
        <v>44805.87</v>
      </c>
      <c r="S98" s="56">
        <v>53213.24</v>
      </c>
      <c r="T98" s="59">
        <v>42598.8775275116</v>
      </c>
    </row>
    <row r="99" spans="1:20" ht="15">
      <c r="A99" s="55" t="s">
        <v>186</v>
      </c>
      <c r="B99" s="55"/>
      <c r="C99" s="55"/>
      <c r="D99" s="55"/>
      <c r="E99" s="55" t="s">
        <v>276</v>
      </c>
      <c r="F99" s="55" t="s">
        <v>331</v>
      </c>
      <c r="G99" s="55" t="s">
        <v>374</v>
      </c>
      <c r="H99" s="33" t="s">
        <v>277</v>
      </c>
      <c r="I99" s="56">
        <v>0</v>
      </c>
      <c r="J99" s="108">
        <v>0</v>
      </c>
      <c r="K99" s="108">
        <v>0</v>
      </c>
      <c r="L99" s="108">
        <v>0</v>
      </c>
      <c r="M99" s="33">
        <v>0</v>
      </c>
      <c r="N99" s="58">
        <v>19155.4</v>
      </c>
      <c r="O99" s="33">
        <v>0</v>
      </c>
      <c r="P99" s="58">
        <v>0</v>
      </c>
      <c r="Q99" s="33">
        <v>0</v>
      </c>
      <c r="R99" s="58">
        <v>547297</v>
      </c>
      <c r="S99" s="56">
        <v>566452.4</v>
      </c>
      <c r="T99" s="59">
        <v>42598.8775275116</v>
      </c>
    </row>
    <row r="100" spans="1:20" ht="15">
      <c r="A100" s="55" t="s">
        <v>186</v>
      </c>
      <c r="B100" s="55" t="s">
        <v>261</v>
      </c>
      <c r="C100" s="55"/>
      <c r="D100" s="55"/>
      <c r="E100" s="55" t="s">
        <v>278</v>
      </c>
      <c r="F100" s="55" t="s">
        <v>368</v>
      </c>
      <c r="G100" s="55" t="s">
        <v>374</v>
      </c>
      <c r="H100" s="33" t="s">
        <v>279</v>
      </c>
      <c r="I100" s="56">
        <v>0</v>
      </c>
      <c r="J100" s="108">
        <v>0</v>
      </c>
      <c r="K100" s="108">
        <v>0</v>
      </c>
      <c r="L100" s="108">
        <v>0</v>
      </c>
      <c r="M100" s="33">
        <v>0</v>
      </c>
      <c r="N100" s="58">
        <v>47500</v>
      </c>
      <c r="O100" s="33">
        <v>0</v>
      </c>
      <c r="P100" s="58">
        <v>8500</v>
      </c>
      <c r="Q100" s="33">
        <v>0</v>
      </c>
      <c r="R100" s="58">
        <v>444180</v>
      </c>
      <c r="S100" s="56">
        <v>500180</v>
      </c>
      <c r="T100" s="59">
        <v>42598.8775275116</v>
      </c>
    </row>
    <row r="101" spans="1:20" ht="15">
      <c r="A101" s="55" t="s">
        <v>186</v>
      </c>
      <c r="B101" s="55"/>
      <c r="C101" s="55"/>
      <c r="D101" s="55"/>
      <c r="E101" s="55" t="s">
        <v>280</v>
      </c>
      <c r="F101" s="55" t="s">
        <v>327</v>
      </c>
      <c r="G101" s="55" t="s">
        <v>374</v>
      </c>
      <c r="H101" s="33" t="s">
        <v>281</v>
      </c>
      <c r="I101" s="56">
        <v>0</v>
      </c>
      <c r="J101" s="108">
        <v>0</v>
      </c>
      <c r="K101" s="108">
        <v>0</v>
      </c>
      <c r="L101" s="108">
        <v>0</v>
      </c>
      <c r="M101" s="33">
        <v>0</v>
      </c>
      <c r="N101" s="58">
        <v>8500.91</v>
      </c>
      <c r="O101" s="33">
        <v>0.01</v>
      </c>
      <c r="P101" s="58">
        <v>930.19</v>
      </c>
      <c r="Q101" s="33">
        <v>0.59</v>
      </c>
      <c r="R101" s="58">
        <v>52640.2</v>
      </c>
      <c r="S101" s="56">
        <v>62071.3</v>
      </c>
      <c r="T101" s="59">
        <v>42598.8775275116</v>
      </c>
    </row>
    <row r="102" spans="1:20" ht="15">
      <c r="A102" s="55" t="s">
        <v>186</v>
      </c>
      <c r="B102" s="55"/>
      <c r="C102" s="55"/>
      <c r="D102" s="55"/>
      <c r="E102" s="55" t="s">
        <v>282</v>
      </c>
      <c r="F102" s="55" t="s">
        <v>331</v>
      </c>
      <c r="G102" s="55" t="s">
        <v>374</v>
      </c>
      <c r="H102" s="33" t="s">
        <v>283</v>
      </c>
      <c r="I102" s="56">
        <v>0</v>
      </c>
      <c r="J102" s="108">
        <v>0</v>
      </c>
      <c r="K102" s="108">
        <v>0</v>
      </c>
      <c r="L102" s="108">
        <v>0</v>
      </c>
      <c r="M102" s="33">
        <v>0</v>
      </c>
      <c r="N102" s="58">
        <v>6017.51</v>
      </c>
      <c r="O102" s="33">
        <v>0</v>
      </c>
      <c r="P102" s="58">
        <v>0</v>
      </c>
      <c r="Q102" s="33">
        <v>0.19354</v>
      </c>
      <c r="R102" s="58">
        <v>98154.18</v>
      </c>
      <c r="S102" s="56">
        <v>104171.69</v>
      </c>
      <c r="T102" s="59">
        <v>42598.8775275116</v>
      </c>
    </row>
    <row r="103" spans="1:20" ht="15">
      <c r="A103" s="55" t="s">
        <v>186</v>
      </c>
      <c r="B103" s="55"/>
      <c r="C103" s="55"/>
      <c r="D103" s="55"/>
      <c r="E103" s="55" t="s">
        <v>284</v>
      </c>
      <c r="F103" s="55" t="s">
        <v>372</v>
      </c>
      <c r="G103" s="55" t="s">
        <v>374</v>
      </c>
      <c r="H103" s="33" t="s">
        <v>285</v>
      </c>
      <c r="I103" s="56">
        <v>0</v>
      </c>
      <c r="J103" s="108">
        <v>0</v>
      </c>
      <c r="K103" s="108">
        <v>0</v>
      </c>
      <c r="L103" s="108">
        <v>0</v>
      </c>
      <c r="M103" s="33">
        <v>0</v>
      </c>
      <c r="N103" s="58">
        <v>21380.92</v>
      </c>
      <c r="O103" s="33">
        <v>0</v>
      </c>
      <c r="P103" s="58">
        <v>10000</v>
      </c>
      <c r="Q103" s="33">
        <v>0.85</v>
      </c>
      <c r="R103" s="58">
        <v>365947.21</v>
      </c>
      <c r="S103" s="56">
        <v>397328.13</v>
      </c>
      <c r="T103" s="59">
        <v>42598.8775275116</v>
      </c>
    </row>
    <row r="104" spans="1:20" ht="15">
      <c r="A104" s="55" t="s">
        <v>186</v>
      </c>
      <c r="B104" s="55"/>
      <c r="C104" s="55"/>
      <c r="D104" s="55"/>
      <c r="E104" s="55" t="s">
        <v>286</v>
      </c>
      <c r="F104" s="55" t="s">
        <v>327</v>
      </c>
      <c r="G104" s="55" t="s">
        <v>375</v>
      </c>
      <c r="H104" s="33" t="s">
        <v>287</v>
      </c>
      <c r="I104" s="56">
        <v>0</v>
      </c>
      <c r="J104" s="108">
        <v>0</v>
      </c>
      <c r="K104" s="108">
        <v>0</v>
      </c>
      <c r="L104" s="108">
        <v>0</v>
      </c>
      <c r="M104" s="33">
        <v>0.05</v>
      </c>
      <c r="N104" s="58">
        <v>30869.27</v>
      </c>
      <c r="O104" s="33">
        <v>0.2</v>
      </c>
      <c r="P104" s="58">
        <v>278485.03</v>
      </c>
      <c r="Q104" s="33">
        <v>0.25</v>
      </c>
      <c r="R104" s="58">
        <v>35606.29</v>
      </c>
      <c r="S104" s="56">
        <v>344960.58</v>
      </c>
      <c r="T104" s="59">
        <v>42598.8775275116</v>
      </c>
    </row>
    <row r="105" spans="1:20" ht="15">
      <c r="A105" s="55" t="s">
        <v>186</v>
      </c>
      <c r="B105" s="55"/>
      <c r="C105" s="55"/>
      <c r="D105" s="55"/>
      <c r="E105" s="55" t="s">
        <v>288</v>
      </c>
      <c r="F105" s="55" t="s">
        <v>368</v>
      </c>
      <c r="G105" s="55" t="s">
        <v>375</v>
      </c>
      <c r="H105" s="33" t="s">
        <v>289</v>
      </c>
      <c r="I105" s="56">
        <v>393087</v>
      </c>
      <c r="J105" s="108">
        <v>7.5</v>
      </c>
      <c r="K105" s="108">
        <v>1944400</v>
      </c>
      <c r="L105" s="108">
        <v>224996</v>
      </c>
      <c r="M105" s="33">
        <v>0</v>
      </c>
      <c r="N105" s="58">
        <v>0</v>
      </c>
      <c r="O105" s="33">
        <v>0</v>
      </c>
      <c r="P105" s="58">
        <v>0</v>
      </c>
      <c r="Q105" s="33">
        <v>0</v>
      </c>
      <c r="R105" s="58">
        <v>555326.45</v>
      </c>
      <c r="S105" s="56">
        <v>948413.45</v>
      </c>
      <c r="T105" s="59">
        <v>42598.8775275116</v>
      </c>
    </row>
    <row r="106" spans="1:20" ht="15">
      <c r="A106" s="55" t="s">
        <v>186</v>
      </c>
      <c r="B106" s="55"/>
      <c r="C106" s="55"/>
      <c r="D106" s="55"/>
      <c r="E106" s="55" t="s">
        <v>314</v>
      </c>
      <c r="F106" s="55" t="s">
        <v>343</v>
      </c>
      <c r="G106" s="55" t="s">
        <v>375</v>
      </c>
      <c r="H106" s="33" t="s">
        <v>315</v>
      </c>
      <c r="I106" s="56">
        <v>0</v>
      </c>
      <c r="J106" s="108">
        <v>0</v>
      </c>
      <c r="K106" s="108">
        <v>0</v>
      </c>
      <c r="L106" s="108">
        <v>0</v>
      </c>
      <c r="M106" s="33">
        <v>0.1</v>
      </c>
      <c r="N106" s="58">
        <v>63769.15</v>
      </c>
      <c r="O106" s="33">
        <v>0</v>
      </c>
      <c r="P106" s="58">
        <v>2000</v>
      </c>
      <c r="Q106" s="33">
        <v>1.65</v>
      </c>
      <c r="R106" s="58">
        <v>986984.51</v>
      </c>
      <c r="S106" s="56">
        <v>1052753.66</v>
      </c>
      <c r="T106" s="59">
        <v>42598.8775275116</v>
      </c>
    </row>
    <row r="107" spans="1:20" ht="15">
      <c r="A107" s="55" t="s">
        <v>186</v>
      </c>
      <c r="B107" s="55"/>
      <c r="C107" s="55"/>
      <c r="D107" s="55"/>
      <c r="E107" s="55" t="s">
        <v>290</v>
      </c>
      <c r="F107" s="55" t="s">
        <v>327</v>
      </c>
      <c r="G107" s="55" t="s">
        <v>374</v>
      </c>
      <c r="H107" s="33" t="s">
        <v>291</v>
      </c>
      <c r="I107" s="56">
        <v>1257074.75</v>
      </c>
      <c r="J107" s="108">
        <v>71.8</v>
      </c>
      <c r="K107" s="108">
        <v>1141845</v>
      </c>
      <c r="L107" s="108">
        <v>26445</v>
      </c>
      <c r="M107" s="33">
        <v>0</v>
      </c>
      <c r="N107" s="58">
        <v>52697.92</v>
      </c>
      <c r="O107" s="33">
        <v>0</v>
      </c>
      <c r="P107" s="58">
        <v>0</v>
      </c>
      <c r="Q107" s="33">
        <v>0.68</v>
      </c>
      <c r="R107" s="58">
        <v>66581.07</v>
      </c>
      <c r="S107" s="56">
        <v>1376353.74</v>
      </c>
      <c r="T107" s="59">
        <v>42598.8775275116</v>
      </c>
    </row>
    <row r="108" ht="15">
      <c r="M108">
        <f>SUM(M2:M107)-SUM(M2:M7)</f>
        <v>13.244999999999997</v>
      </c>
    </row>
  </sheetData>
  <sheetProtection/>
  <printOptions/>
  <pageMargins left="0.75" right="0.75" top="1" bottom="1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B1">
      <selection activeCell="B4" sqref="B4"/>
    </sheetView>
  </sheetViews>
  <sheetFormatPr defaultColWidth="9.140625" defaultRowHeight="15"/>
  <cols>
    <col min="1" max="1" width="9.140625" style="69" customWidth="1"/>
    <col min="2" max="2" width="19.8515625" style="69" bestFit="1" customWidth="1"/>
    <col min="3" max="6" width="16.7109375" style="70" customWidth="1"/>
    <col min="7" max="8" width="9.140625" style="69" customWidth="1"/>
    <col min="9" max="9" width="45.140625" style="69" bestFit="1" customWidth="1"/>
    <col min="10" max="10" width="22.421875" style="71" bestFit="1" customWidth="1"/>
    <col min="11" max="12" width="9.140625" style="69" customWidth="1"/>
    <col min="13" max="13" width="29.7109375" style="69" bestFit="1" customWidth="1"/>
    <col min="14" max="14" width="21.140625" style="69" bestFit="1" customWidth="1"/>
    <col min="15" max="15" width="14.140625" style="69" customWidth="1"/>
    <col min="16" max="16384" width="9.140625" style="69" customWidth="1"/>
  </cols>
  <sheetData>
    <row r="1" ht="13.5">
      <c r="A1" s="69" t="s">
        <v>381</v>
      </c>
    </row>
    <row r="3" spans="2:6" ht="63.75">
      <c r="B3" s="63" t="s">
        <v>318</v>
      </c>
      <c r="C3" s="72" t="s">
        <v>319</v>
      </c>
      <c r="D3" s="72" t="s">
        <v>320</v>
      </c>
      <c r="E3" s="72" t="s">
        <v>321</v>
      </c>
      <c r="F3" s="72" t="s">
        <v>322</v>
      </c>
    </row>
    <row r="4" spans="2:16" ht="15.75">
      <c r="B4" s="67" t="s">
        <v>323</v>
      </c>
      <c r="C4" s="73">
        <v>4640</v>
      </c>
      <c r="D4" s="73">
        <v>100619</v>
      </c>
      <c r="E4" s="73">
        <v>11179</v>
      </c>
      <c r="F4" s="73">
        <f>SUM(D4:E4)</f>
        <v>111798</v>
      </c>
      <c r="H4" s="69" t="s">
        <v>380</v>
      </c>
      <c r="M4" s="65"/>
      <c r="N4" s="63" t="s">
        <v>346</v>
      </c>
      <c r="O4" s="63" t="s">
        <v>347</v>
      </c>
      <c r="P4" s="63" t="s">
        <v>324</v>
      </c>
    </row>
    <row r="5" spans="2:16" ht="15.75">
      <c r="B5" s="67" t="s">
        <v>234</v>
      </c>
      <c r="C5" s="103" t="s">
        <v>325</v>
      </c>
      <c r="D5" s="73">
        <v>4192</v>
      </c>
      <c r="E5" s="73">
        <v>466</v>
      </c>
      <c r="F5" s="73">
        <f>SUM(D5:E5)</f>
        <v>4658</v>
      </c>
      <c r="I5" s="63" t="s">
        <v>326</v>
      </c>
      <c r="J5" s="64" t="s">
        <v>342</v>
      </c>
      <c r="M5" s="67" t="s">
        <v>344</v>
      </c>
      <c r="N5" s="65">
        <v>185</v>
      </c>
      <c r="O5" s="65">
        <v>119</v>
      </c>
      <c r="P5" s="65">
        <f>SUM(N5:O5)</f>
        <v>304</v>
      </c>
    </row>
    <row r="6" spans="2:16" ht="15.75">
      <c r="B6" s="67" t="s">
        <v>324</v>
      </c>
      <c r="C6" s="73">
        <f>SUM(C4:C5)</f>
        <v>4640</v>
      </c>
      <c r="D6" s="73">
        <f>SUM(D4:D5)</f>
        <v>104811</v>
      </c>
      <c r="E6" s="73">
        <f>SUM(E4:E5)</f>
        <v>11645</v>
      </c>
      <c r="F6" s="73">
        <f>SUM(F4:F5)</f>
        <v>116456</v>
      </c>
      <c r="I6" s="65" t="s">
        <v>327</v>
      </c>
      <c r="J6" s="66">
        <v>19562</v>
      </c>
      <c r="M6" s="67" t="s">
        <v>345</v>
      </c>
      <c r="N6" s="65">
        <v>2.7</v>
      </c>
      <c r="O6" s="65">
        <v>0.6</v>
      </c>
      <c r="P6" s="65">
        <f>SUM(N6:O6)</f>
        <v>3.3000000000000003</v>
      </c>
    </row>
    <row r="7" spans="9:16" ht="15.75">
      <c r="I7" s="65" t="s">
        <v>343</v>
      </c>
      <c r="J7" s="66">
        <v>21675</v>
      </c>
      <c r="M7" s="67" t="s">
        <v>348</v>
      </c>
      <c r="N7" s="65">
        <v>26</v>
      </c>
      <c r="O7" s="65">
        <v>25</v>
      </c>
      <c r="P7" s="65">
        <v>50</v>
      </c>
    </row>
    <row r="8" spans="9:13" ht="15.75">
      <c r="I8" s="65" t="s">
        <v>328</v>
      </c>
      <c r="J8" s="66">
        <v>2519</v>
      </c>
      <c r="M8" s="102" t="s">
        <v>349</v>
      </c>
    </row>
    <row r="9" spans="9:10" ht="15.75">
      <c r="I9" s="65" t="s">
        <v>329</v>
      </c>
      <c r="J9" s="66">
        <v>994</v>
      </c>
    </row>
    <row r="10" spans="9:10" ht="15.75">
      <c r="I10" s="65" t="s">
        <v>330</v>
      </c>
      <c r="J10" s="66">
        <v>6447</v>
      </c>
    </row>
    <row r="11" spans="9:10" ht="15.75">
      <c r="I11" s="65" t="s">
        <v>265</v>
      </c>
      <c r="J11" s="66">
        <v>1051</v>
      </c>
    </row>
    <row r="12" spans="9:10" ht="15.75">
      <c r="I12" s="65" t="s">
        <v>351</v>
      </c>
      <c r="J12" s="66">
        <v>284</v>
      </c>
    </row>
    <row r="13" spans="9:10" ht="15.75">
      <c r="I13" s="67" t="s">
        <v>332</v>
      </c>
      <c r="J13" s="66">
        <f>SUM(J6:J12)</f>
        <v>52532</v>
      </c>
    </row>
    <row r="14" spans="9:10" ht="4.5" customHeight="1">
      <c r="I14" s="65"/>
      <c r="J14" s="66"/>
    </row>
    <row r="15" spans="9:10" ht="15.75">
      <c r="I15" s="65" t="s">
        <v>333</v>
      </c>
      <c r="J15" s="66">
        <v>40123</v>
      </c>
    </row>
    <row r="16" spans="9:10" ht="15.75">
      <c r="I16" s="65" t="s">
        <v>334</v>
      </c>
      <c r="J16" s="66">
        <v>8725</v>
      </c>
    </row>
    <row r="17" spans="9:10" ht="15.75">
      <c r="I17" s="67" t="s">
        <v>335</v>
      </c>
      <c r="J17" s="66">
        <f>SUM(J15:J16)</f>
        <v>48848</v>
      </c>
    </row>
    <row r="18" spans="9:10" ht="4.5" customHeight="1">
      <c r="I18" s="65"/>
      <c r="J18" s="66"/>
    </row>
    <row r="19" spans="9:10" ht="15.75">
      <c r="I19" s="65" t="s">
        <v>336</v>
      </c>
      <c r="J19" s="66">
        <v>1356</v>
      </c>
    </row>
    <row r="20" spans="9:10" ht="15.75">
      <c r="I20" s="65" t="s">
        <v>337</v>
      </c>
      <c r="J20" s="66">
        <v>5494</v>
      </c>
    </row>
    <row r="21" spans="9:10" ht="15.75">
      <c r="I21" s="65" t="s">
        <v>338</v>
      </c>
      <c r="J21" s="66">
        <v>2510</v>
      </c>
    </row>
    <row r="22" spans="9:10" ht="15.75">
      <c r="I22" s="65" t="s">
        <v>212</v>
      </c>
      <c r="J22" s="66">
        <v>1058</v>
      </c>
    </row>
    <row r="23" spans="9:10" ht="15.75">
      <c r="I23" s="67" t="s">
        <v>339</v>
      </c>
      <c r="J23" s="66">
        <f>SUM(J19:J22)</f>
        <v>10418</v>
      </c>
    </row>
    <row r="24" spans="9:10" ht="4.5" customHeight="1">
      <c r="I24" s="65"/>
      <c r="J24" s="66"/>
    </row>
    <row r="25" spans="9:10" ht="15.75">
      <c r="I25" s="68" t="s">
        <v>340</v>
      </c>
      <c r="J25" s="66">
        <f>J13+J17+J23</f>
        <v>111798</v>
      </c>
    </row>
    <row r="26" spans="9:10" ht="4.5" customHeight="1">
      <c r="I26" s="65"/>
      <c r="J26" s="66"/>
    </row>
    <row r="27" spans="9:10" ht="15.75">
      <c r="I27" s="65" t="s">
        <v>234</v>
      </c>
      <c r="J27" s="66">
        <v>4658</v>
      </c>
    </row>
    <row r="28" spans="9:10" ht="4.5" customHeight="1">
      <c r="I28" s="65"/>
      <c r="J28" s="66"/>
    </row>
    <row r="29" spans="9:10" ht="15.75">
      <c r="I29" s="68" t="s">
        <v>341</v>
      </c>
      <c r="J29" s="66">
        <f>SUM(J25:J27)</f>
        <v>116456</v>
      </c>
    </row>
    <row r="30" ht="13.5">
      <c r="I30" s="69" t="s">
        <v>350</v>
      </c>
    </row>
    <row r="31" ht="13.5">
      <c r="I31" s="69" t="s">
        <v>352</v>
      </c>
    </row>
  </sheetData>
  <sheetProtection/>
  <printOptions/>
  <pageMargins left="0.75" right="0.75" top="1" bottom="1" header="0.3" footer="0.3"/>
  <pageSetup orientation="portrait" paperSize="3"/>
  <ignoredErrors>
    <ignoredError sqref="F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Corona</dc:creator>
  <cp:keywords/>
  <dc:description/>
  <cp:lastModifiedBy>Microsoft Office User</cp:lastModifiedBy>
  <cp:lastPrinted>2014-03-21T20:05:07Z</cp:lastPrinted>
  <dcterms:created xsi:type="dcterms:W3CDTF">2014-03-14T12:27:53Z</dcterms:created>
  <dcterms:modified xsi:type="dcterms:W3CDTF">2017-04-14T22:58:33Z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