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omments4.xml" ContentType="application/vnd.openxmlformats-officedocument.spreadsheetml.comments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2625" yWindow="1845" windowWidth="22695" windowHeight="15195" tabRatio="737"/>
  </bookViews>
  <sheets>
    <sheet name="Portfolio Summary" sheetId="6" r:id="rId1"/>
    <sheet name="Functions Definitions" sheetId="9" r:id="rId2"/>
    <sheet name="Portfolio Headcount (FTE)" sheetId="8" r:id="rId3"/>
    <sheet name="Residential" sheetId="5" r:id="rId4"/>
    <sheet name="Commercial" sheetId="10" r:id="rId5"/>
    <sheet name="Public Sector" sheetId="13" r:id="rId6"/>
    <sheet name="Cross cutting" sheetId="14" r:id="rId7"/>
    <sheet name="Industrial" sheetId="11" r:id="rId8"/>
    <sheet name="Agricultural" sheetId="12" r:id="rId9"/>
  </sheets>
  <definedNames>
    <definedName name="Electric_only" localSheetId="8">#REF!</definedName>
    <definedName name="Electric_only" localSheetId="4">#REF!</definedName>
    <definedName name="Electric_only" localSheetId="6">#REF!</definedName>
    <definedName name="Electric_only" localSheetId="7">#REF!</definedName>
    <definedName name="Electric_only" localSheetId="5">#REF!</definedName>
    <definedName name="Electric_only">#REF!</definedName>
  </definedName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30" i="14" l="1"/>
  <c r="E27" i="14"/>
  <c r="E23" i="14"/>
  <c r="E22" i="14"/>
  <c r="E20" i="14"/>
  <c r="E23" i="13"/>
  <c r="E20" i="13"/>
  <c r="E31" i="10"/>
  <c r="E23" i="10"/>
  <c r="E22" i="10"/>
  <c r="E20" i="10"/>
  <c r="G17" i="6"/>
  <c r="E20" i="5"/>
  <c r="E27" i="5"/>
  <c r="E25" i="5"/>
  <c r="E22" i="5"/>
  <c r="L8" i="6" l="1"/>
  <c r="K8" i="6"/>
  <c r="N8" i="6"/>
  <c r="O12" i="6"/>
  <c r="O8" i="6"/>
  <c r="I19" i="6"/>
  <c r="I18" i="6"/>
  <c r="I17" i="6"/>
  <c r="I16" i="6"/>
  <c r="I15" i="6"/>
  <c r="H20" i="6"/>
  <c r="F20" i="6"/>
  <c r="E20" i="6"/>
  <c r="E19" i="6"/>
  <c r="E18" i="6"/>
  <c r="E17" i="6"/>
  <c r="E16" i="6"/>
  <c r="E15" i="6"/>
  <c r="D20" i="6"/>
  <c r="C20" i="6"/>
  <c r="B20" i="6"/>
  <c r="D16" i="14"/>
  <c r="D9" i="14"/>
  <c r="D9" i="10"/>
  <c r="D14" i="10"/>
  <c r="D9" i="5"/>
  <c r="D16" i="5"/>
  <c r="D14" i="5"/>
  <c r="E18" i="14"/>
  <c r="E28" i="14"/>
  <c r="E14" i="14"/>
  <c r="E9" i="14"/>
  <c r="E8" i="14"/>
  <c r="D22" i="14"/>
  <c r="D22" i="5"/>
  <c r="D20" i="5"/>
  <c r="D25" i="5"/>
  <c r="C8" i="8"/>
  <c r="C14" i="8"/>
  <c r="C7" i="8"/>
  <c r="E28" i="10"/>
  <c r="E35" i="14"/>
  <c r="G13" i="6" s="1"/>
  <c r="E27" i="13"/>
  <c r="E22" i="13"/>
  <c r="E35" i="10"/>
  <c r="E36" i="10" s="1"/>
  <c r="I9" i="6" s="1"/>
  <c r="E35" i="5"/>
  <c r="E36" i="5" s="1"/>
  <c r="I8" i="6" s="1"/>
  <c r="E18" i="5"/>
  <c r="C18" i="8"/>
  <c r="C12" i="8"/>
  <c r="D35" i="5"/>
  <c r="C8" i="6"/>
  <c r="C9" i="6"/>
  <c r="D35" i="14"/>
  <c r="C13" i="6"/>
  <c r="C14" i="6"/>
  <c r="D8" i="6"/>
  <c r="D9" i="6"/>
  <c r="D14" i="6"/>
  <c r="D18" i="5"/>
  <c r="D36" i="5"/>
  <c r="E8" i="6"/>
  <c r="D18" i="10"/>
  <c r="D36" i="10"/>
  <c r="E9" i="6"/>
  <c r="D18" i="14"/>
  <c r="D36" i="14"/>
  <c r="E13" i="6"/>
  <c r="E14" i="6"/>
  <c r="F8" i="6"/>
  <c r="E18" i="10"/>
  <c r="F9" i="6"/>
  <c r="E18" i="13"/>
  <c r="F12" i="6"/>
  <c r="F13" i="6"/>
  <c r="F14" i="6"/>
  <c r="H8" i="6"/>
  <c r="H9" i="6"/>
  <c r="H12" i="6"/>
  <c r="H14" i="6"/>
  <c r="J14" i="6"/>
  <c r="J20" i="6"/>
  <c r="K14" i="6"/>
  <c r="K20" i="6"/>
  <c r="L14" i="6"/>
  <c r="L20" i="6"/>
  <c r="M14" i="6"/>
  <c r="M20" i="6"/>
  <c r="N14" i="6"/>
  <c r="N20" i="6"/>
  <c r="O14" i="6"/>
  <c r="O20" i="6"/>
  <c r="B8" i="6"/>
  <c r="B9" i="6"/>
  <c r="B13" i="6"/>
  <c r="B14" i="6"/>
  <c r="D28" i="5"/>
  <c r="B18" i="8"/>
  <c r="D28" i="14"/>
  <c r="D27" i="14"/>
  <c r="D28" i="10"/>
  <c r="D27" i="10"/>
  <c r="D22" i="10"/>
  <c r="D31" i="5"/>
  <c r="D30" i="5"/>
  <c r="D27" i="5"/>
  <c r="D26" i="5"/>
  <c r="D24" i="5"/>
  <c r="M8" i="6"/>
  <c r="H13" i="6"/>
  <c r="D13" i="6"/>
  <c r="D12" i="6"/>
  <c r="D35" i="13"/>
  <c r="C12" i="6"/>
  <c r="D18" i="13"/>
  <c r="D36" i="13"/>
  <c r="E12" i="6"/>
  <c r="E35" i="12"/>
  <c r="E18" i="12"/>
  <c r="E36" i="12"/>
  <c r="D35" i="12"/>
  <c r="D18" i="12"/>
  <c r="D36" i="12"/>
  <c r="E35" i="11"/>
  <c r="E18" i="11"/>
  <c r="E36" i="11"/>
  <c r="D35" i="11"/>
  <c r="D18" i="11"/>
  <c r="D36" i="11"/>
  <c r="D35" i="10"/>
  <c r="A1" i="14"/>
  <c r="A1" i="13"/>
  <c r="A1" i="12"/>
  <c r="A1" i="11"/>
  <c r="A1" i="10"/>
  <c r="A1" i="5"/>
  <c r="A1" i="8"/>
  <c r="A1" i="9"/>
  <c r="B12" i="6"/>
  <c r="A36" i="14"/>
  <c r="A36" i="13"/>
  <c r="A36" i="12"/>
  <c r="A36" i="11"/>
  <c r="A36" i="10"/>
  <c r="A36" i="5"/>
  <c r="E35" i="13"/>
  <c r="G12" i="6" s="1"/>
  <c r="E36" i="14" l="1"/>
  <c r="I13" i="6" s="1"/>
  <c r="E36" i="13"/>
  <c r="I12" i="6" s="1"/>
  <c r="G9" i="6"/>
  <c r="G8" i="6"/>
  <c r="I14" i="6" l="1"/>
  <c r="I20" i="6" s="1"/>
  <c r="G14" i="6"/>
  <c r="G20" i="6" s="1"/>
</calcChain>
</file>

<file path=xl/comments1.xml><?xml version="1.0" encoding="utf-8"?>
<comments xmlns="http://schemas.openxmlformats.org/spreadsheetml/2006/main">
  <authors>
    <author>RyanJ</author>
  </authors>
  <commentList>
    <comment ref="H8" authorId="0">
      <text>
        <r>
          <rPr>
            <b/>
            <sz val="9"/>
            <color indexed="81"/>
            <rFont val="Tahoma"/>
            <family val="2"/>
          </rPr>
          <t>RyanJ:</t>
        </r>
        <r>
          <rPr>
            <sz val="9"/>
            <color indexed="81"/>
            <rFont val="Tahoma"/>
            <family val="2"/>
          </rPr>
          <t xml:space="preserve">
BayREN Business Plan, pp 21, Table 1.2 "Portfolio Budget"</t>
        </r>
      </text>
    </comment>
    <comment ref="J8" authorId="0">
      <text>
        <r>
          <rPr>
            <b/>
            <sz val="9"/>
            <color indexed="81"/>
            <rFont val="Tahoma"/>
            <charset val="1"/>
          </rPr>
          <t>RyanJ:</t>
        </r>
        <r>
          <rPr>
            <sz val="9"/>
            <color indexed="81"/>
            <rFont val="Tahoma"/>
            <charset val="1"/>
          </rPr>
          <t xml:space="preserve">
SF: 0.93GWh
MF: 1.98GWh</t>
        </r>
      </text>
    </comment>
    <comment ref="K8" authorId="0">
      <text>
        <r>
          <rPr>
            <b/>
            <sz val="9"/>
            <color indexed="81"/>
            <rFont val="Tahoma"/>
            <charset val="1"/>
          </rPr>
          <t>RyanJ:</t>
        </r>
        <r>
          <rPr>
            <sz val="9"/>
            <color indexed="81"/>
            <rFont val="Tahoma"/>
            <charset val="1"/>
          </rPr>
          <t xml:space="preserve">
SF: 1.32MW
MF: 0.22MW</t>
        </r>
      </text>
    </comment>
    <comment ref="L8" authorId="0">
      <text>
        <r>
          <rPr>
            <b/>
            <sz val="9"/>
            <color indexed="81"/>
            <rFont val="Tahoma"/>
            <charset val="1"/>
          </rPr>
          <t>RyanJ:</t>
        </r>
        <r>
          <rPr>
            <sz val="9"/>
            <color indexed="81"/>
            <rFont val="Tahoma"/>
            <charset val="1"/>
          </rPr>
          <t xml:space="preserve">
SF: 0.20 MMth
MF: 0.17 MMth</t>
        </r>
      </text>
    </comment>
    <comment ref="M8" authorId="0">
      <text>
        <r>
          <rPr>
            <b/>
            <sz val="9"/>
            <color indexed="81"/>
            <rFont val="Tahoma"/>
            <family val="2"/>
          </rPr>
          <t>RyanJ:</t>
        </r>
        <r>
          <rPr>
            <sz val="9"/>
            <color indexed="81"/>
            <rFont val="Tahoma"/>
            <family val="2"/>
          </rPr>
          <t xml:space="preserve">
BayREN Business Plan, pp 39, Table 2.3 "Residential Sector Metrics"</t>
        </r>
      </text>
    </comment>
    <comment ref="N8" authorId="0">
      <text>
        <r>
          <rPr>
            <b/>
            <sz val="9"/>
            <color indexed="81"/>
            <rFont val="Tahoma"/>
            <family val="2"/>
          </rPr>
          <t>RyanJ:</t>
        </r>
        <r>
          <rPr>
            <sz val="9"/>
            <color indexed="81"/>
            <rFont val="Tahoma"/>
            <family val="2"/>
          </rPr>
          <t xml:space="preserve">
SF: 1,500 kW
MF: 150kW</t>
        </r>
      </text>
    </comment>
    <comment ref="O8" authorId="0">
      <text>
        <r>
          <rPr>
            <b/>
            <sz val="9"/>
            <color indexed="81"/>
            <rFont val="Tahoma"/>
            <family val="2"/>
          </rPr>
          <t>RyanJ:</t>
        </r>
        <r>
          <rPr>
            <sz val="9"/>
            <color indexed="81"/>
            <rFont val="Tahoma"/>
            <family val="2"/>
          </rPr>
          <t xml:space="preserve">
SF: 300,000 therms
MF: 150,000 therms</t>
        </r>
      </text>
    </comment>
    <comment ref="M9" authorId="0">
      <text>
        <r>
          <rPr>
            <b/>
            <sz val="9"/>
            <color indexed="81"/>
            <rFont val="Tahoma"/>
            <family val="2"/>
          </rPr>
          <t>RyanJ:</t>
        </r>
        <r>
          <rPr>
            <sz val="9"/>
            <color indexed="81"/>
            <rFont val="Tahoma"/>
            <family val="2"/>
          </rPr>
          <t xml:space="preserve">
BayREN Business Plan, pp 95, Table 3.4 "Commercial Metrics"</t>
        </r>
      </text>
    </comment>
    <comment ref="O9" authorId="0">
      <text>
        <r>
          <rPr>
            <b/>
            <sz val="9"/>
            <color indexed="81"/>
            <rFont val="Tahoma"/>
            <family val="2"/>
          </rPr>
          <t>RyanJ:</t>
        </r>
        <r>
          <rPr>
            <sz val="9"/>
            <color indexed="81"/>
            <rFont val="Tahoma"/>
            <family val="2"/>
          </rPr>
          <t xml:space="preserve">
300,000 therms</t>
        </r>
      </text>
    </comment>
    <comment ref="M12" authorId="0">
      <text>
        <r>
          <rPr>
            <b/>
            <sz val="9"/>
            <color indexed="81"/>
            <rFont val="Tahoma"/>
            <family val="2"/>
          </rPr>
          <t>RyanJ:</t>
        </r>
        <r>
          <rPr>
            <sz val="9"/>
            <color indexed="81"/>
            <rFont val="Tahoma"/>
            <family val="2"/>
          </rPr>
          <t xml:space="preserve">
BayREN Business Plan, pp 130, Table 4.3 "Public Sector Metrics"</t>
        </r>
      </text>
    </comment>
    <comment ref="O12" authorId="0">
      <text>
        <r>
          <rPr>
            <b/>
            <sz val="9"/>
            <color indexed="81"/>
            <rFont val="Tahoma"/>
            <family val="2"/>
          </rPr>
          <t>RyanJ:</t>
        </r>
        <r>
          <rPr>
            <sz val="9"/>
            <color indexed="81"/>
            <rFont val="Tahoma"/>
            <family val="2"/>
          </rPr>
          <t xml:space="preserve">
110,000 therms/year</t>
        </r>
      </text>
    </comment>
    <comment ref="G17" authorId="0">
      <text>
        <r>
          <rPr>
            <b/>
            <sz val="9"/>
            <color indexed="81"/>
            <rFont val="Tahoma"/>
            <family val="2"/>
          </rPr>
          <t>RyanJ:</t>
        </r>
        <r>
          <rPr>
            <sz val="9"/>
            <color indexed="81"/>
            <rFont val="Tahoma"/>
            <family val="2"/>
          </rPr>
          <t xml:space="preserve">
MFCAP</t>
        </r>
      </text>
    </comment>
    <comment ref="I20" authorId="0">
      <text>
        <r>
          <rPr>
            <b/>
            <sz val="9"/>
            <color indexed="81"/>
            <rFont val="Tahoma"/>
            <family val="2"/>
          </rPr>
          <t>RyanJ:</t>
        </r>
        <r>
          <rPr>
            <sz val="9"/>
            <color indexed="81"/>
            <rFont val="Tahoma"/>
            <family val="2"/>
          </rPr>
          <t xml:space="preserve">
Compared to BP, reflects a difference of -$1.348M earmarked as "BayREN Program Admin" unspecific to program/sector</t>
        </r>
      </text>
    </comment>
  </commentList>
</comments>
</file>

<file path=xl/comments2.xml><?xml version="1.0" encoding="utf-8"?>
<comments xmlns="http://schemas.openxmlformats.org/spreadsheetml/2006/main">
  <authors>
    <author>RyanJ</author>
  </authors>
  <commentList>
    <comment ref="D9" authorId="0">
      <text>
        <r>
          <rPr>
            <b/>
            <sz val="9"/>
            <color indexed="81"/>
            <rFont val="Tahoma"/>
            <family val="2"/>
          </rPr>
          <t>RyanJ:</t>
        </r>
        <r>
          <rPr>
            <sz val="9"/>
            <color indexed="81"/>
            <rFont val="Tahoma"/>
            <family val="2"/>
          </rPr>
          <t xml:space="preserve">
Staff Labor: $115,778.03
Reimbursables: $6,955.40</t>
        </r>
      </text>
    </comment>
    <comment ref="D14" authorId="0">
      <text>
        <r>
          <rPr>
            <b/>
            <sz val="9"/>
            <color indexed="81"/>
            <rFont val="Tahoma"/>
            <family val="2"/>
          </rPr>
          <t>RyanJ:</t>
        </r>
        <r>
          <rPr>
            <sz val="9"/>
            <color indexed="81"/>
            <rFont val="Tahoma"/>
            <family val="2"/>
          </rPr>
          <t xml:space="preserve">
Staff Labor: $15,072.26
Reimbursables: $6,561.09</t>
        </r>
      </text>
    </comment>
    <comment ref="D16" authorId="0">
      <text>
        <r>
          <rPr>
            <b/>
            <sz val="9"/>
            <color indexed="81"/>
            <rFont val="Tahoma"/>
            <family val="2"/>
          </rPr>
          <t>RyanJ:</t>
        </r>
        <r>
          <rPr>
            <sz val="9"/>
            <color indexed="81"/>
            <rFont val="Tahoma"/>
            <family val="2"/>
          </rPr>
          <t xml:space="preserve">
Staff Labor: $1,481.75
Reimbursables: $371.14</t>
        </r>
      </text>
    </comment>
  </commentList>
</comments>
</file>

<file path=xl/comments3.xml><?xml version="1.0" encoding="utf-8"?>
<comments xmlns="http://schemas.openxmlformats.org/spreadsheetml/2006/main">
  <authors>
    <author>RyanJ</author>
  </authors>
  <commentList>
    <comment ref="D9" authorId="0">
      <text>
        <r>
          <rPr>
            <b/>
            <sz val="9"/>
            <color indexed="81"/>
            <rFont val="Tahoma"/>
            <family val="2"/>
          </rPr>
          <t>RyanJ:</t>
        </r>
        <r>
          <rPr>
            <sz val="9"/>
            <color indexed="81"/>
            <rFont val="Tahoma"/>
            <family val="2"/>
          </rPr>
          <t xml:space="preserve">
Staff Labor: $539.67
Reimbursables: $160.96</t>
        </r>
      </text>
    </comment>
    <comment ref="D14" authorId="0">
      <text>
        <r>
          <rPr>
            <b/>
            <sz val="9"/>
            <color indexed="81"/>
            <rFont val="Tahoma"/>
            <family val="2"/>
          </rPr>
          <t>RyanJ:</t>
        </r>
        <r>
          <rPr>
            <sz val="9"/>
            <color indexed="81"/>
            <rFont val="Tahoma"/>
            <family val="2"/>
          </rPr>
          <t xml:space="preserve">
Staff Labor: $4,559.30
Reimbursables: $101.74</t>
        </r>
      </text>
    </comment>
    <comment ref="E33" authorId="0">
      <text>
        <r>
          <rPr>
            <b/>
            <sz val="9"/>
            <color indexed="81"/>
            <rFont val="Tahoma"/>
            <family val="2"/>
          </rPr>
          <t>RyanJ:</t>
        </r>
        <r>
          <rPr>
            <sz val="9"/>
            <color indexed="81"/>
            <rFont val="Tahoma"/>
            <family val="2"/>
          </rPr>
          <t xml:space="preserve">
BayREN Business Plan, p. 94, table 3.3</t>
        </r>
      </text>
    </comment>
  </commentList>
</comments>
</file>

<file path=xl/comments4.xml><?xml version="1.0" encoding="utf-8"?>
<comments xmlns="http://schemas.openxmlformats.org/spreadsheetml/2006/main">
  <authors>
    <author>RyanJ</author>
  </authors>
  <commentList>
    <comment ref="E8" authorId="0">
      <text>
        <r>
          <rPr>
            <b/>
            <sz val="9"/>
            <color indexed="81"/>
            <rFont val="Tahoma"/>
            <family val="2"/>
          </rPr>
          <t>RyanJ:</t>
        </r>
        <r>
          <rPr>
            <sz val="9"/>
            <color indexed="81"/>
            <rFont val="Tahoma"/>
            <family val="2"/>
          </rPr>
          <t xml:space="preserve">
PAYS: $14,000
C&amp;S: $12,500</t>
        </r>
      </text>
    </comment>
    <comment ref="D9" authorId="0">
      <text>
        <r>
          <rPr>
            <b/>
            <sz val="9"/>
            <color indexed="81"/>
            <rFont val="Tahoma"/>
            <family val="2"/>
          </rPr>
          <t>RyanJ:</t>
        </r>
        <r>
          <rPr>
            <sz val="9"/>
            <color indexed="81"/>
            <rFont val="Tahoma"/>
            <family val="2"/>
          </rPr>
          <t xml:space="preserve">
Staff Labor: $58,640.96
Reimbursables: $1,169.39</t>
        </r>
      </text>
    </comment>
    <comment ref="E9" authorId="0">
      <text>
        <r>
          <rPr>
            <b/>
            <sz val="9"/>
            <color indexed="81"/>
            <rFont val="Tahoma"/>
            <family val="2"/>
          </rPr>
          <t>RyanJ:</t>
        </r>
        <r>
          <rPr>
            <sz val="9"/>
            <color indexed="81"/>
            <rFont val="Tahoma"/>
            <family val="2"/>
          </rPr>
          <t xml:space="preserve">
PAYS: $238,000 
C&amp;S: $212,500</t>
        </r>
      </text>
    </comment>
    <comment ref="E14" authorId="0">
      <text>
        <r>
          <rPr>
            <b/>
            <sz val="9"/>
            <color indexed="81"/>
            <rFont val="Tahoma"/>
            <family val="2"/>
          </rPr>
          <t>RyanJ:</t>
        </r>
        <r>
          <rPr>
            <sz val="9"/>
            <color indexed="81"/>
            <rFont val="Tahoma"/>
            <family val="2"/>
          </rPr>
          <t xml:space="preserve">
PAYS: $28,000
C&amp;S: $25,000</t>
        </r>
      </text>
    </comment>
    <comment ref="D16" authorId="0">
      <text>
        <r>
          <rPr>
            <b/>
            <sz val="9"/>
            <color indexed="81"/>
            <rFont val="Tahoma"/>
            <family val="2"/>
          </rPr>
          <t>RyanJ:</t>
        </r>
        <r>
          <rPr>
            <sz val="9"/>
            <color indexed="81"/>
            <rFont val="Tahoma"/>
            <family val="2"/>
          </rPr>
          <t xml:space="preserve">
Staff Labor: $0
Reimbursables: $354.52</t>
        </r>
      </text>
    </comment>
    <comment ref="E20" authorId="0">
      <text>
        <r>
          <rPr>
            <b/>
            <sz val="9"/>
            <color indexed="81"/>
            <rFont val="Tahoma"/>
            <family val="2"/>
          </rPr>
          <t>RyanJ:</t>
        </r>
        <r>
          <rPr>
            <sz val="9"/>
            <color indexed="81"/>
            <rFont val="Tahoma"/>
            <family val="2"/>
          </rPr>
          <t xml:space="preserve">
PAYS: $761,000 
C&amp;S: $600,00</t>
        </r>
      </text>
    </comment>
    <comment ref="E22" authorId="0">
      <text>
        <r>
          <rPr>
            <b/>
            <sz val="9"/>
            <color indexed="81"/>
            <rFont val="Tahoma"/>
            <family val="2"/>
          </rPr>
          <t>RyanJ:</t>
        </r>
        <r>
          <rPr>
            <sz val="9"/>
            <color indexed="81"/>
            <rFont val="Tahoma"/>
            <family val="2"/>
          </rPr>
          <t xml:space="preserve">
PAYS: $0
C&amp;S: $100,000</t>
        </r>
      </text>
    </comment>
    <comment ref="E23" authorId="0">
      <text>
        <r>
          <rPr>
            <b/>
            <sz val="9"/>
            <color indexed="81"/>
            <rFont val="Tahoma"/>
            <family val="2"/>
          </rPr>
          <t>RyanJ:</t>
        </r>
        <r>
          <rPr>
            <sz val="9"/>
            <color indexed="81"/>
            <rFont val="Tahoma"/>
            <family val="2"/>
          </rPr>
          <t xml:space="preserve">
PAYS: $0
C&amp;S: $804,000</t>
        </r>
      </text>
    </comment>
    <comment ref="E27" authorId="0">
      <text>
        <r>
          <rPr>
            <b/>
            <sz val="9"/>
            <color indexed="81"/>
            <rFont val="Tahoma"/>
            <family val="2"/>
          </rPr>
          <t>RyanJ:</t>
        </r>
        <r>
          <rPr>
            <sz val="9"/>
            <color indexed="81"/>
            <rFont val="Tahoma"/>
            <family val="2"/>
          </rPr>
          <t xml:space="preserve">
PAYS: $10,000
C&amp;S: $10,000</t>
        </r>
      </text>
    </comment>
    <comment ref="E28" authorId="0">
      <text>
        <r>
          <rPr>
            <b/>
            <sz val="9"/>
            <color indexed="81"/>
            <rFont val="Tahoma"/>
            <family val="2"/>
          </rPr>
          <t>RyanJ:</t>
        </r>
        <r>
          <rPr>
            <sz val="9"/>
            <color indexed="81"/>
            <rFont val="Tahoma"/>
            <family val="2"/>
          </rPr>
          <t xml:space="preserve">
PAYS: $0
C&amp;S: 20,000</t>
        </r>
      </text>
    </comment>
    <comment ref="E30" authorId="0">
      <text>
        <r>
          <rPr>
            <b/>
            <sz val="9"/>
            <color indexed="81"/>
            <rFont val="Tahoma"/>
            <family val="2"/>
          </rPr>
          <t>RyanJ:</t>
        </r>
        <r>
          <rPr>
            <sz val="9"/>
            <color indexed="81"/>
            <rFont val="Tahoma"/>
            <family val="2"/>
          </rPr>
          <t xml:space="preserve">
PAYS: $0
C&amp;S: $4,000</t>
        </r>
      </text>
    </comment>
  </commentList>
</comments>
</file>

<file path=xl/sharedStrings.xml><?xml version="1.0" encoding="utf-8"?>
<sst xmlns="http://schemas.openxmlformats.org/spreadsheetml/2006/main" count="385" uniqueCount="142">
  <si>
    <t>Incentives</t>
  </si>
  <si>
    <t>EM&amp;V</t>
  </si>
  <si>
    <t>Cost Element</t>
  </si>
  <si>
    <t>Labor</t>
  </si>
  <si>
    <t>Labor Total</t>
  </si>
  <si>
    <t>IT</t>
  </si>
  <si>
    <t>Functional Group</t>
  </si>
  <si>
    <t>Other Contracts</t>
  </si>
  <si>
    <t>Non-Labor</t>
  </si>
  <si>
    <t>Sector</t>
  </si>
  <si>
    <t>Residential</t>
  </si>
  <si>
    <t>Non-Labor Total</t>
  </si>
  <si>
    <t>EE Total</t>
  </si>
  <si>
    <t>Commercial</t>
  </si>
  <si>
    <t>Agricultural</t>
  </si>
  <si>
    <t>Industrial</t>
  </si>
  <si>
    <t>Public (GP)</t>
  </si>
  <si>
    <t>Total</t>
  </si>
  <si>
    <t>Third-Party Implementers Contracts</t>
  </si>
  <si>
    <t>Labor Overheads</t>
  </si>
  <si>
    <t>Facilities</t>
  </si>
  <si>
    <t>Notes:</t>
  </si>
  <si>
    <t>ME&amp;O</t>
  </si>
  <si>
    <t>Labor(1)</t>
  </si>
  <si>
    <t>Other (collected through GRC) (2)</t>
  </si>
  <si>
    <t>(1) Labor costs are already loaded with (state loaders covered by EE)</t>
  </si>
  <si>
    <t>(2) These costs are collected through GRC (state current applicable decision)</t>
  </si>
  <si>
    <t>2018 EE Portfolio Forecasted Savings</t>
  </si>
  <si>
    <t>KWH</t>
  </si>
  <si>
    <t>KW</t>
  </si>
  <si>
    <t>MTHERMS</t>
  </si>
  <si>
    <t>Program Management</t>
  </si>
  <si>
    <t>Customer Application/Rebate/Incentive Processing</t>
  </si>
  <si>
    <t>Customer Project Inspections</t>
  </si>
  <si>
    <t>Portfolio Analytics</t>
  </si>
  <si>
    <t>Account Management / Sales</t>
  </si>
  <si>
    <t>Call Center</t>
  </si>
  <si>
    <t>Aggregated Category</t>
  </si>
  <si>
    <t>Definition</t>
  </si>
  <si>
    <t>Functional Category</t>
  </si>
  <si>
    <t>Detailed Definition</t>
  </si>
  <si>
    <t>Planning &amp; Compliance</t>
  </si>
  <si>
    <t>DSM Goal Planning; lead legislative review/positioning; policy support on reg proceedings; portfolio optimization; end use-market strategy; DSM lead for PRP, DRP, ES; locational targeting; audit support; SOX certifications; developing control plans; developing action plans; continuous monitoring; inspections; program/product QA/QC; decision compliance oversight/tracking; data requests; policies &amp; procedures</t>
  </si>
  <si>
    <t>Company Regulatory Support</t>
  </si>
  <si>
    <t>Case management for EE proceedings</t>
  </si>
  <si>
    <t>Program management</t>
  </si>
  <si>
    <t>Includes labor, contracts, admin costs for program design, program implementation, product and channel management for all sectors</t>
  </si>
  <si>
    <t>Program Management &amp; Delivery</t>
  </si>
  <si>
    <t>Market Segment &amp; Locational Resource programs; Business Core &amp; Finance Programs; Large Power DR Programs; Non-Res HVAC &amp; Technical Services; Program Integration &amp; Optimization; Residential EE &amp; DR  Programs (incl. Res HVAC QI); IQP &amp; Economic Assistance Programs; Mass Market DR Programs; Education &amp; Information Products &amp; Services; Energy Leader Partnerships; Institutional &amp; Federal Partnerships; REN Coordination; Strategic Plan Support; Energy/Water Program Mgt; Service Level Agreement Tracking</t>
  </si>
  <si>
    <t>Product Management</t>
  </si>
  <si>
    <t>Manage end-to-end new products and services (P&amp;S) intake, evaluation, and launch process; develop and facilitate  P&amp;S governance teams, coordination of all sub-process owners, stakeholders, and technical resources required to evaluate and launch new products; evaluate and launch new services and OOR opportunities; develop external partnerships &amp; strategic alliances; work with various companies and associations to help advance standards, products, and tech.; work with external experts to help reduce SCE costs to deliver new prog. and products; develop and launch new customer technologies, products, services for residential and business customers; conduct customer pilots of new technologies and programs; lead customer field demonstrations of new technologies and products; align new P&amp;S to savings programs/incentives; develop new programs/incentives in support of savings goals</t>
  </si>
  <si>
    <t>Channel Management</t>
  </si>
  <si>
    <t>Contract Management</t>
  </si>
  <si>
    <t>Budget forecasting, spend tracking, invoice processing, and contract management with vendors and suppliers; Regulatory support for ME&amp;O activities</t>
  </si>
  <si>
    <t>Engineering Services</t>
  </si>
  <si>
    <t>Includes engineering, project management, and contracts associated with workpaper development and pre/post sales project technical reviews and design assistance</t>
  </si>
  <si>
    <t>Custom project support</t>
  </si>
  <si>
    <t>Management of Emerging Products projects; Customized reviews; LCR/RFO support; Ex-ante review management; Technical policy support; Technical assessments; Workpapers; Tool development; End use subject matter expertise</t>
  </si>
  <si>
    <t>Deemed workpapers</t>
  </si>
  <si>
    <t>Project management</t>
  </si>
  <si>
    <t>Costs associated with application management and rebate and incentive processing (deemed and custom)</t>
  </si>
  <si>
    <t>Rebate &amp; Application Processing</t>
  </si>
  <si>
    <t>Inspections</t>
  </si>
  <si>
    <t>Costs associated with project inspections</t>
  </si>
  <si>
    <t>Data development for programs, products and services; Standard and ad hoc data extracts for internal and external clients ; Database management; CPUC, CAISO reporting; Data reconciliation; E3 support ; Compliance filing support; Funding Oversight; ESPI support; Program Results Data &amp; Performance</t>
  </si>
  <si>
    <t>EM&amp;V expenditures</t>
  </si>
  <si>
    <t>EM&amp;V Studies</t>
  </si>
  <si>
    <t>Program and product review; manage evaluation studies</t>
  </si>
  <si>
    <t>EM&amp;V Forecasting</t>
  </si>
  <si>
    <t>EE lead for LTPP and IEPR; market potential study; integration w/ procurement planning; CPUC Demand Analysis Working Group</t>
  </si>
  <si>
    <t>Marketing</t>
  </si>
  <si>
    <t>Costs associated with utility EE marketing; no statewide; focus on outsourced portion</t>
  </si>
  <si>
    <t>Customer Programs, Products, and Services Marketing; Digital Product Development; Digital Content &amp; Optimization</t>
  </si>
  <si>
    <t>Customer insights</t>
  </si>
  <si>
    <t>Voice of the Customer; Customer satisfaction study measurement and  analysis (JD Power, SDS); Customer testing/research</t>
  </si>
  <si>
    <t>Costs associated with account rep energy efficiency sales functions</t>
  </si>
  <si>
    <t>Account Management</t>
  </si>
  <si>
    <t>IT project specific costs and regular O&amp;M</t>
  </si>
  <si>
    <t>IT - project specific</t>
  </si>
  <si>
    <t>Projects and minor enhancements.  Includes project management/business integration ("PMO/BID").  Excluded: maintenance (which SCE defines as when something goes down, normal batch processing, verifying interfaces, etc.).</t>
  </si>
  <si>
    <t>IT - regular O&amp;M</t>
  </si>
  <si>
    <t>Costs associated with call center staff fielding EE program questions</t>
  </si>
  <si>
    <t>Costs of rebate and incentive payments to customers</t>
  </si>
  <si>
    <t>Policy, Strategy, and Regulatory Reporting Compliance</t>
  </si>
  <si>
    <t>Engineering services</t>
  </si>
  <si>
    <t>Customer Application/Rebate and Incentive Processing</t>
  </si>
  <si>
    <t>Includes  analytics support, including internal performance reporting and external reporting</t>
  </si>
  <si>
    <t>Data analytics</t>
  </si>
  <si>
    <t>Non-Labor (excl. Incentives)</t>
  </si>
  <si>
    <t>2016 EE Portfolio Savings</t>
  </si>
  <si>
    <t>2016 EE Portfolio FTE</t>
  </si>
  <si>
    <t>2018 EE Portfolio FTE</t>
  </si>
  <si>
    <t>Cross Cutting*</t>
  </si>
  <si>
    <t>* Cross Cutting Sector includes Codes &amp; Standards, Emerging Technologies, Workforce Education &amp; Training, Financing.</t>
  </si>
  <si>
    <t>OBF - Loan Pool**</t>
  </si>
  <si>
    <t xml:space="preserve">    Policy, Strategy, and Regulatory Reporting Compliance</t>
  </si>
  <si>
    <t xml:space="preserve">    Program Management</t>
  </si>
  <si>
    <t xml:space="preserve">    Engineering services</t>
  </si>
  <si>
    <t xml:space="preserve">    Customer Application/Rebate/Incentive Processing</t>
  </si>
  <si>
    <t xml:space="preserve">    Customer Project Inspections</t>
  </si>
  <si>
    <t xml:space="preserve">    Portfolio Analytics</t>
  </si>
  <si>
    <t xml:space="preserve">    Account Management / Sales</t>
  </si>
  <si>
    <t xml:space="preserve">    IT</t>
  </si>
  <si>
    <t xml:space="preserve">    Call Center</t>
  </si>
  <si>
    <t>Local/Government Partnerships Contracts (3)</t>
  </si>
  <si>
    <t>(3) LGP contracts that directly support the sector is included/not included in this item</t>
  </si>
  <si>
    <t>EM&amp;V-PA</t>
  </si>
  <si>
    <t>EM&amp;V-ED</t>
  </si>
  <si>
    <t>Incentives--Core Programs</t>
  </si>
  <si>
    <t>Incentives--Third Party Program</t>
  </si>
  <si>
    <t>ME&amp;O (Local)</t>
  </si>
  <si>
    <t xml:space="preserve">    ME&amp;O (Local)</t>
  </si>
  <si>
    <t>SUPPLEMENTAL 2018 EE BUDGET INFORMATION</t>
  </si>
  <si>
    <t>PORTFOLIO SUMMARY</t>
  </si>
  <si>
    <t>FUNCTION DEFINITIONS</t>
  </si>
  <si>
    <t>PORTFOLIO STAFFING</t>
  </si>
  <si>
    <t>RESIDENTIAL BUDGET DETAIL</t>
  </si>
  <si>
    <t>COMMERCIAL BUDGET DETAIL</t>
  </si>
  <si>
    <t>INDUSTRIAL BUDGET DETAIL</t>
  </si>
  <si>
    <t>AGRICULTURAL BUDGET DETAIL</t>
  </si>
  <si>
    <t>PUBLIC SECTOR BUDGET DETAIL</t>
  </si>
  <si>
    <t>CROSS -CUTTING BUDGET DETAIL</t>
  </si>
  <si>
    <t xml:space="preserve">Industrial </t>
  </si>
  <si>
    <t>Public Sector</t>
  </si>
  <si>
    <t>Cross Cutting</t>
  </si>
  <si>
    <t>REN</t>
  </si>
  <si>
    <t>CCA</t>
  </si>
  <si>
    <t>BAY AREA REGIONAL ENERGY NETWORK (BAYREN)</t>
  </si>
  <si>
    <t>** For SDG&amp;E and SCG the loan pool is not part of the authorized EE portoflio budget and is collected and tracked through a separate balancing account.</t>
  </si>
  <si>
    <t>2016 EE Portfolio Expenditures</t>
  </si>
  <si>
    <t>2018 EE Portfolio Budget</t>
  </si>
  <si>
    <t>Includes policy, strategy, compliance, audits and regulatory support</t>
  </si>
  <si>
    <t>(3) BayREN member local government agency contracts</t>
  </si>
  <si>
    <t>(1) Labor rates are fully loaded, inclusive of overhead and fringe benefits</t>
  </si>
  <si>
    <t>Incentives--Core Programs / Loan Capital</t>
  </si>
  <si>
    <t>$1.3M implementation</t>
  </si>
  <si>
    <t>Notes</t>
  </si>
  <si>
    <t>Other (collected through GRC)</t>
  </si>
  <si>
    <t>2018: +1 FTE for C&amp;S Program Management</t>
  </si>
  <si>
    <t>2018: +1 FTE for PAYS Program Management</t>
  </si>
  <si>
    <t>Local/Government Partnerships Contracts (3) (4)</t>
  </si>
  <si>
    <t>(4) 2018 Budget excludes $830,000 loan capital tracked in portfolio summary in cell G17. In BayREN's Business Plan filing, this balance is included in the sector budget.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</si>
</sst>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2"/>
      <color theme="1"/>
      <name val="Calibri"/>
      <family val="2"/>
    </font>
    <font>
      <sz val="12"/>
      <color rgb="FF000000"/>
      <name val="Calibri"/>
      <family val="2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rgb="FF000000"/>
      </bottom>
      <diagonal/>
    </border>
    <border>
      <left style="medium">
        <color auto="1"/>
      </left>
      <right style="medium">
        <color auto="1"/>
      </right>
      <top style="medium">
        <color rgb="FF000000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</cellStyleXfs>
  <cellXfs count="100">
    <xf numFmtId="0" fontId="0" fillId="0" borderId="0" xfId="0"/>
    <xf numFmtId="164" fontId="0" fillId="0" borderId="0" xfId="1" applyNumberFormat="1" applyFont="1"/>
    <xf numFmtId="0" fontId="0" fillId="0" borderId="1" xfId="0" applyBorder="1"/>
    <xf numFmtId="0" fontId="0" fillId="2" borderId="1" xfId="0" applyFill="1" applyBorder="1" applyAlignment="1">
      <alignment horizontal="left"/>
    </xf>
    <xf numFmtId="0" fontId="0" fillId="2" borderId="1" xfId="0" applyFill="1" applyBorder="1"/>
    <xf numFmtId="0" fontId="0" fillId="3" borderId="1" xfId="0" applyFill="1" applyBorder="1"/>
    <xf numFmtId="0" fontId="0" fillId="0" borderId="2" xfId="0" applyFill="1" applyBorder="1"/>
    <xf numFmtId="0" fontId="0" fillId="4" borderId="1" xfId="0" applyFill="1" applyBorder="1"/>
    <xf numFmtId="0" fontId="0" fillId="0" borderId="0" xfId="0" applyBorder="1"/>
    <xf numFmtId="0" fontId="0" fillId="4" borderId="1" xfId="0" applyFill="1" applyBorder="1" applyAlignment="1">
      <alignment horizontal="right"/>
    </xf>
    <xf numFmtId="0" fontId="0" fillId="0" borderId="0" xfId="0" applyBorder="1" applyAlignment="1"/>
    <xf numFmtId="0" fontId="0" fillId="2" borderId="1" xfId="0" applyFill="1" applyBorder="1" applyAlignment="1">
      <alignment horizontal="center" wrapText="1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2" borderId="1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0" fillId="0" borderId="11" xfId="0" applyFill="1" applyBorder="1"/>
    <xf numFmtId="164" fontId="3" fillId="0" borderId="0" xfId="1" applyNumberFormat="1" applyFont="1"/>
    <xf numFmtId="0" fontId="4" fillId="0" borderId="0" xfId="0" applyFont="1"/>
    <xf numFmtId="0" fontId="3" fillId="0" borderId="0" xfId="0" applyFont="1"/>
    <xf numFmtId="44" fontId="0" fillId="0" borderId="1" xfId="0" applyNumberFormat="1" applyBorder="1"/>
    <xf numFmtId="44" fontId="0" fillId="3" borderId="1" xfId="0" applyNumberFormat="1" applyFill="1" applyBorder="1"/>
    <xf numFmtId="44" fontId="0" fillId="2" borderId="1" xfId="0" applyNumberFormat="1" applyFill="1" applyBorder="1"/>
    <xf numFmtId="0" fontId="0" fillId="0" borderId="12" xfId="0" applyBorder="1"/>
    <xf numFmtId="0" fontId="0" fillId="2" borderId="12" xfId="0" applyFill="1" applyBorder="1" applyAlignment="1">
      <alignment horizontal="center" vertical="center"/>
    </xf>
    <xf numFmtId="0" fontId="0" fillId="0" borderId="12" xfId="0" applyFill="1" applyBorder="1"/>
    <xf numFmtId="0" fontId="2" fillId="0" borderId="12" xfId="0" applyFont="1" applyFill="1" applyBorder="1"/>
    <xf numFmtId="0" fontId="0" fillId="3" borderId="12" xfId="0" applyFill="1" applyBorder="1"/>
    <xf numFmtId="0" fontId="0" fillId="2" borderId="16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44" fontId="0" fillId="0" borderId="16" xfId="0" applyNumberFormat="1" applyFill="1" applyBorder="1"/>
    <xf numFmtId="44" fontId="0" fillId="0" borderId="1" xfId="0" applyNumberFormat="1" applyFill="1" applyBorder="1"/>
    <xf numFmtId="44" fontId="0" fillId="0" borderId="17" xfId="0" applyNumberFormat="1" applyFill="1" applyBorder="1"/>
    <xf numFmtId="44" fontId="0" fillId="0" borderId="17" xfId="0" applyNumberFormat="1" applyBorder="1"/>
    <xf numFmtId="3" fontId="0" fillId="0" borderId="16" xfId="0" applyNumberFormat="1" applyFill="1" applyBorder="1"/>
    <xf numFmtId="3" fontId="0" fillId="0" borderId="1" xfId="0" applyNumberFormat="1" applyFill="1" applyBorder="1"/>
    <xf numFmtId="3" fontId="0" fillId="0" borderId="17" xfId="0" applyNumberFormat="1" applyFill="1" applyBorder="1"/>
    <xf numFmtId="3" fontId="0" fillId="0" borderId="1" xfId="0" applyNumberFormat="1" applyBorder="1"/>
    <xf numFmtId="3" fontId="0" fillId="0" borderId="17" xfId="0" applyNumberFormat="1" applyBorder="1"/>
    <xf numFmtId="44" fontId="0" fillId="7" borderId="16" xfId="0" applyNumberFormat="1" applyFill="1" applyBorder="1"/>
    <xf numFmtId="44" fontId="0" fillId="7" borderId="1" xfId="0" applyNumberFormat="1" applyFill="1" applyBorder="1"/>
    <xf numFmtId="44" fontId="0" fillId="7" borderId="17" xfId="0" applyNumberFormat="1" applyFill="1" applyBorder="1"/>
    <xf numFmtId="3" fontId="0" fillId="7" borderId="16" xfId="0" applyNumberFormat="1" applyFill="1" applyBorder="1"/>
    <xf numFmtId="3" fontId="0" fillId="7" borderId="1" xfId="0" applyNumberFormat="1" applyFill="1" applyBorder="1"/>
    <xf numFmtId="3" fontId="0" fillId="7" borderId="17" xfId="0" applyNumberFormat="1" applyFill="1" applyBorder="1"/>
    <xf numFmtId="44" fontId="3" fillId="3" borderId="16" xfId="0" applyNumberFormat="1" applyFont="1" applyFill="1" applyBorder="1"/>
    <xf numFmtId="44" fontId="3" fillId="3" borderId="1" xfId="0" applyNumberFormat="1" applyFont="1" applyFill="1" applyBorder="1"/>
    <xf numFmtId="44" fontId="3" fillId="3" borderId="17" xfId="0" applyNumberFormat="1" applyFont="1" applyFill="1" applyBorder="1"/>
    <xf numFmtId="3" fontId="3" fillId="3" borderId="16" xfId="0" applyNumberFormat="1" applyFont="1" applyFill="1" applyBorder="1"/>
    <xf numFmtId="3" fontId="3" fillId="3" borderId="1" xfId="0" applyNumberFormat="1" applyFont="1" applyFill="1" applyBorder="1"/>
    <xf numFmtId="44" fontId="3" fillId="3" borderId="18" xfId="0" applyNumberFormat="1" applyFont="1" applyFill="1" applyBorder="1"/>
    <xf numFmtId="44" fontId="3" fillId="3" borderId="19" xfId="0" applyNumberFormat="1" applyFont="1" applyFill="1" applyBorder="1"/>
    <xf numFmtId="44" fontId="3" fillId="3" borderId="20" xfId="0" applyNumberFormat="1" applyFont="1" applyFill="1" applyBorder="1"/>
    <xf numFmtId="3" fontId="3" fillId="3" borderId="18" xfId="0" applyNumberFormat="1" applyFont="1" applyFill="1" applyBorder="1"/>
    <xf numFmtId="3" fontId="3" fillId="3" borderId="19" xfId="0" applyNumberFormat="1" applyFont="1" applyFill="1" applyBorder="1"/>
    <xf numFmtId="4" fontId="0" fillId="0" borderId="17" xfId="0" applyNumberFormat="1" applyFill="1" applyBorder="1"/>
    <xf numFmtId="4" fontId="0" fillId="0" borderId="17" xfId="0" applyNumberFormat="1" applyBorder="1"/>
    <xf numFmtId="0" fontId="7" fillId="5" borderId="3" xfId="0" applyFont="1" applyFill="1" applyBorder="1" applyAlignment="1">
      <alignment vertical="center" wrapText="1"/>
    </xf>
    <xf numFmtId="0" fontId="7" fillId="5" borderId="4" xfId="0" applyFont="1" applyFill="1" applyBorder="1" applyAlignment="1">
      <alignment vertical="center"/>
    </xf>
    <xf numFmtId="0" fontId="7" fillId="5" borderId="4" xfId="0" applyFont="1" applyFill="1" applyBorder="1" applyAlignment="1">
      <alignment vertical="center" wrapText="1"/>
    </xf>
    <xf numFmtId="0" fontId="8" fillId="5" borderId="6" xfId="0" applyFont="1" applyFill="1" applyBorder="1" applyAlignment="1">
      <alignment vertical="center" wrapText="1"/>
    </xf>
    <xf numFmtId="0" fontId="8" fillId="5" borderId="3" xfId="0" applyFont="1" applyFill="1" applyBorder="1" applyAlignment="1">
      <alignment vertical="center"/>
    </xf>
    <xf numFmtId="0" fontId="8" fillId="5" borderId="3" xfId="0" applyFont="1" applyFill="1" applyBorder="1" applyAlignment="1">
      <alignment vertical="center" wrapText="1"/>
    </xf>
    <xf numFmtId="0" fontId="8" fillId="5" borderId="6" xfId="0" applyFont="1" applyFill="1" applyBorder="1" applyAlignment="1">
      <alignment vertical="center"/>
    </xf>
    <xf numFmtId="0" fontId="8" fillId="0" borderId="6" xfId="0" applyFont="1" applyBorder="1" applyAlignment="1">
      <alignment vertical="center" wrapText="1"/>
    </xf>
    <xf numFmtId="0" fontId="9" fillId="4" borderId="1" xfId="0" applyFont="1" applyFill="1" applyBorder="1" applyAlignment="1">
      <alignment wrapText="1"/>
    </xf>
    <xf numFmtId="0" fontId="8" fillId="0" borderId="6" xfId="0" applyFont="1" applyBorder="1" applyAlignment="1">
      <alignment vertical="center"/>
    </xf>
    <xf numFmtId="0" fontId="8" fillId="0" borderId="10" xfId="0" applyFont="1" applyBorder="1" applyAlignment="1">
      <alignment vertical="center" wrapText="1"/>
    </xf>
    <xf numFmtId="0" fontId="8" fillId="5" borderId="10" xfId="0" applyFont="1" applyFill="1" applyBorder="1" applyAlignment="1">
      <alignment vertical="center" wrapText="1"/>
    </xf>
    <xf numFmtId="44" fontId="3" fillId="2" borderId="1" xfId="0" applyNumberFormat="1" applyFont="1" applyFill="1" applyBorder="1"/>
    <xf numFmtId="4" fontId="0" fillId="0" borderId="1" xfId="0" applyNumberFormat="1" applyBorder="1"/>
    <xf numFmtId="4" fontId="3" fillId="0" borderId="1" xfId="0" applyNumberFormat="1" applyFont="1" applyBorder="1"/>
    <xf numFmtId="9" fontId="0" fillId="0" borderId="0" xfId="0" applyNumberFormat="1"/>
    <xf numFmtId="44" fontId="0" fillId="0" borderId="0" xfId="0" applyNumberFormat="1"/>
    <xf numFmtId="44" fontId="12" fillId="0" borderId="1" xfId="0" applyNumberFormat="1" applyFont="1" applyBorder="1"/>
    <xf numFmtId="44" fontId="0" fillId="0" borderId="0" xfId="2" applyFont="1"/>
    <xf numFmtId="0" fontId="0" fillId="4" borderId="0" xfId="0" applyFill="1" applyBorder="1"/>
    <xf numFmtId="49" fontId="0" fillId="0" borderId="0" xfId="0" applyNumberFormat="1"/>
    <xf numFmtId="44" fontId="0" fillId="0" borderId="0" xfId="0" applyNumberFormat="1" applyFill="1" applyBorder="1"/>
    <xf numFmtId="44" fontId="3" fillId="0" borderId="0" xfId="0" applyNumberFormat="1" applyFont="1" applyFill="1" applyBorder="1"/>
    <xf numFmtId="4" fontId="3" fillId="3" borderId="1" xfId="0" applyNumberFormat="1" applyFont="1" applyFill="1" applyBorder="1"/>
    <xf numFmtId="4" fontId="3" fillId="3" borderId="17" xfId="0" applyNumberFormat="1" applyFont="1" applyFill="1" applyBorder="1"/>
    <xf numFmtId="4" fontId="3" fillId="3" borderId="19" xfId="0" applyNumberFormat="1" applyFont="1" applyFill="1" applyBorder="1"/>
    <xf numFmtId="4" fontId="3" fillId="3" borderId="20" xfId="0" applyNumberFormat="1" applyFont="1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6" borderId="13" xfId="0" applyFill="1" applyBorder="1" applyAlignment="1">
      <alignment horizontal="center"/>
    </xf>
    <xf numFmtId="0" fontId="0" fillId="6" borderId="14" xfId="0" applyFill="1" applyBorder="1" applyAlignment="1">
      <alignment horizontal="center"/>
    </xf>
    <xf numFmtId="0" fontId="0" fillId="6" borderId="15" xfId="0" applyFill="1" applyBorder="1" applyAlignment="1">
      <alignment horizontal="center"/>
    </xf>
    <xf numFmtId="0" fontId="8" fillId="5" borderId="8" xfId="0" applyFont="1" applyFill="1" applyBorder="1" applyAlignment="1">
      <alignment vertical="center" wrapText="1"/>
    </xf>
    <xf numFmtId="0" fontId="8" fillId="5" borderId="7" xfId="0" applyFont="1" applyFill="1" applyBorder="1" applyAlignment="1">
      <alignment vertical="center" wrapText="1"/>
    </xf>
    <xf numFmtId="0" fontId="8" fillId="5" borderId="5" xfId="0" applyFont="1" applyFill="1" applyBorder="1" applyAlignment="1">
      <alignment vertical="center" wrapText="1"/>
    </xf>
    <xf numFmtId="0" fontId="8" fillId="5" borderId="5" xfId="0" applyFont="1" applyFill="1" applyBorder="1" applyAlignment="1">
      <alignment horizontal="center" vertical="center"/>
    </xf>
    <xf numFmtId="0" fontId="8" fillId="5" borderId="10" xfId="0" applyFont="1" applyFill="1" applyBorder="1" applyAlignment="1">
      <alignment horizontal="center" vertical="center"/>
    </xf>
    <xf numFmtId="0" fontId="8" fillId="5" borderId="9" xfId="0" applyFont="1" applyFill="1" applyBorder="1" applyAlignment="1">
      <alignment vertical="center" wrapText="1"/>
    </xf>
    <xf numFmtId="0" fontId="8" fillId="5" borderId="8" xfId="0" applyFont="1" applyFill="1" applyBorder="1" applyAlignment="1">
      <alignment vertical="center"/>
    </xf>
    <xf numFmtId="0" fontId="8" fillId="5" borderId="7" xfId="0" applyFont="1" applyFill="1" applyBorder="1" applyAlignment="1">
      <alignment vertical="center"/>
    </xf>
    <xf numFmtId="0" fontId="8" fillId="5" borderId="10" xfId="0" applyFont="1" applyFill="1" applyBorder="1" applyAlignment="1">
      <alignment vertical="center" wrapText="1"/>
    </xf>
  </cellXfs>
  <cellStyles count="5">
    <cellStyle name="Comma" xfId="1" builtinId="3"/>
    <cellStyle name="Currency" xfId="2" builtinId="4"/>
    <cellStyle name="Followed Hyperlink" xfId="4" builtinId="9" hidden="1"/>
    <cellStyle name="Hyperlink" xfId="3" builtinId="8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23</xdr:row>
      <xdr:rowOff>134471</xdr:rowOff>
    </xdr:from>
    <xdr:to>
      <xdr:col>9</xdr:col>
      <xdr:colOff>574411</xdr:colOff>
      <xdr:row>40</xdr:row>
      <xdr:rowOff>87144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55912" y="3899647"/>
          <a:ext cx="8408443" cy="319117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20</xdr:row>
      <xdr:rowOff>0</xdr:rowOff>
    </xdr:from>
    <xdr:to>
      <xdr:col>11</xdr:col>
      <xdr:colOff>170350</xdr:colOff>
      <xdr:row>58</xdr:row>
      <xdr:rowOff>78490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CE66CDA7-739D-4E93-964E-B871221C64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41700" y="2946400"/>
          <a:ext cx="8800000" cy="70761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592666</xdr:colOff>
      <xdr:row>41</xdr:row>
      <xdr:rowOff>179916</xdr:rowOff>
    </xdr:from>
    <xdr:to>
      <xdr:col>4</xdr:col>
      <xdr:colOff>1406459</xdr:colOff>
      <xdr:row>50</xdr:row>
      <xdr:rowOff>111597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xmlns="" id="{00000000-0008-0000-03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76916" y="5524499"/>
          <a:ext cx="8221088" cy="1646181"/>
        </a:xfrm>
        <a:prstGeom prst="rect">
          <a:avLst/>
        </a:prstGeom>
      </xdr:spPr>
    </xdr:pic>
    <xdr:clientData/>
  </xdr:twoCellAnchor>
  <xdr:twoCellAnchor editAs="oneCell">
    <xdr:from>
      <xdr:col>0</xdr:col>
      <xdr:colOff>867833</xdr:colOff>
      <xdr:row>53</xdr:row>
      <xdr:rowOff>0</xdr:rowOff>
    </xdr:from>
    <xdr:to>
      <xdr:col>4</xdr:col>
      <xdr:colOff>1482706</xdr:colOff>
      <xdr:row>69</xdr:row>
      <xdr:rowOff>3208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xmlns="" id="{00000000-0008-0000-03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67833" y="7630583"/>
          <a:ext cx="9006418" cy="305120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592666</xdr:colOff>
      <xdr:row>42</xdr:row>
      <xdr:rowOff>179916</xdr:rowOff>
    </xdr:from>
    <xdr:to>
      <xdr:col>4</xdr:col>
      <xdr:colOff>1406459</xdr:colOff>
      <xdr:row>51</xdr:row>
      <xdr:rowOff>111597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1CD66FF8-BC97-4F53-82ED-23BE85F6D9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21366" y="7177616"/>
          <a:ext cx="8592916" cy="1589031"/>
        </a:xfrm>
        <a:prstGeom prst="rect">
          <a:avLst/>
        </a:prstGeom>
      </xdr:spPr>
    </xdr:pic>
    <xdr:clientData/>
  </xdr:twoCellAnchor>
  <xdr:twoCellAnchor editAs="oneCell">
    <xdr:from>
      <xdr:col>0</xdr:col>
      <xdr:colOff>867833</xdr:colOff>
      <xdr:row>54</xdr:row>
      <xdr:rowOff>0</xdr:rowOff>
    </xdr:from>
    <xdr:to>
      <xdr:col>4</xdr:col>
      <xdr:colOff>1482706</xdr:colOff>
      <xdr:row>70</xdr:row>
      <xdr:rowOff>3208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B576EFF5-4C51-4803-B73A-9534BB8662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67833" y="9207500"/>
          <a:ext cx="9422696" cy="294960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592666</xdr:colOff>
      <xdr:row>42</xdr:row>
      <xdr:rowOff>179916</xdr:rowOff>
    </xdr:from>
    <xdr:to>
      <xdr:col>4</xdr:col>
      <xdr:colOff>1406459</xdr:colOff>
      <xdr:row>51</xdr:row>
      <xdr:rowOff>111597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9F04C02-57AD-4D89-B567-8EAD228EC1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21366" y="7177616"/>
          <a:ext cx="8592916" cy="1589031"/>
        </a:xfrm>
        <a:prstGeom prst="rect">
          <a:avLst/>
        </a:prstGeom>
      </xdr:spPr>
    </xdr:pic>
    <xdr:clientData/>
  </xdr:twoCellAnchor>
  <xdr:twoCellAnchor editAs="oneCell">
    <xdr:from>
      <xdr:col>0</xdr:col>
      <xdr:colOff>867833</xdr:colOff>
      <xdr:row>54</xdr:row>
      <xdr:rowOff>0</xdr:rowOff>
    </xdr:from>
    <xdr:to>
      <xdr:col>4</xdr:col>
      <xdr:colOff>1482706</xdr:colOff>
      <xdr:row>70</xdr:row>
      <xdr:rowOff>3208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4CD5A9E6-6A59-4443-9A0A-7A5A23C537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67833" y="9207500"/>
          <a:ext cx="9422696" cy="2949609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592666</xdr:colOff>
      <xdr:row>42</xdr:row>
      <xdr:rowOff>179916</xdr:rowOff>
    </xdr:from>
    <xdr:to>
      <xdr:col>4</xdr:col>
      <xdr:colOff>1406459</xdr:colOff>
      <xdr:row>51</xdr:row>
      <xdr:rowOff>111597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1E7DABBA-0C30-4EE0-BBB3-478F3711D8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21366" y="7177616"/>
          <a:ext cx="8592916" cy="1589031"/>
        </a:xfrm>
        <a:prstGeom prst="rect">
          <a:avLst/>
        </a:prstGeom>
      </xdr:spPr>
    </xdr:pic>
    <xdr:clientData/>
  </xdr:twoCellAnchor>
  <xdr:twoCellAnchor editAs="oneCell">
    <xdr:from>
      <xdr:col>0</xdr:col>
      <xdr:colOff>867833</xdr:colOff>
      <xdr:row>54</xdr:row>
      <xdr:rowOff>0</xdr:rowOff>
    </xdr:from>
    <xdr:to>
      <xdr:col>4</xdr:col>
      <xdr:colOff>1482706</xdr:colOff>
      <xdr:row>70</xdr:row>
      <xdr:rowOff>3208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ABA5F443-6DDC-4BA4-8120-05064A8F93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67833" y="9207500"/>
          <a:ext cx="9422696" cy="2949609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592666</xdr:colOff>
      <xdr:row>42</xdr:row>
      <xdr:rowOff>179916</xdr:rowOff>
    </xdr:from>
    <xdr:to>
      <xdr:col>4</xdr:col>
      <xdr:colOff>1406459</xdr:colOff>
      <xdr:row>51</xdr:row>
      <xdr:rowOff>111597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4B69198A-C61E-4D92-A38A-2FE9CA3688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21366" y="7177616"/>
          <a:ext cx="8592916" cy="1589031"/>
        </a:xfrm>
        <a:prstGeom prst="rect">
          <a:avLst/>
        </a:prstGeom>
      </xdr:spPr>
    </xdr:pic>
    <xdr:clientData/>
  </xdr:twoCellAnchor>
  <xdr:twoCellAnchor editAs="oneCell">
    <xdr:from>
      <xdr:col>0</xdr:col>
      <xdr:colOff>867833</xdr:colOff>
      <xdr:row>54</xdr:row>
      <xdr:rowOff>0</xdr:rowOff>
    </xdr:from>
    <xdr:to>
      <xdr:col>4</xdr:col>
      <xdr:colOff>1482706</xdr:colOff>
      <xdr:row>70</xdr:row>
      <xdr:rowOff>3208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6BC338BF-0E6F-4D05-8257-18E58D90EE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67833" y="9207500"/>
          <a:ext cx="9422696" cy="2949609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592666</xdr:colOff>
      <xdr:row>42</xdr:row>
      <xdr:rowOff>179916</xdr:rowOff>
    </xdr:from>
    <xdr:to>
      <xdr:col>4</xdr:col>
      <xdr:colOff>1406459</xdr:colOff>
      <xdr:row>51</xdr:row>
      <xdr:rowOff>111597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5DF079F6-8D87-4C0D-A88F-5FEFFB98A1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21366" y="7177616"/>
          <a:ext cx="8592916" cy="1589031"/>
        </a:xfrm>
        <a:prstGeom prst="rect">
          <a:avLst/>
        </a:prstGeom>
      </xdr:spPr>
    </xdr:pic>
    <xdr:clientData/>
  </xdr:twoCellAnchor>
  <xdr:twoCellAnchor editAs="oneCell">
    <xdr:from>
      <xdr:col>0</xdr:col>
      <xdr:colOff>867833</xdr:colOff>
      <xdr:row>54</xdr:row>
      <xdr:rowOff>0</xdr:rowOff>
    </xdr:from>
    <xdr:to>
      <xdr:col>4</xdr:col>
      <xdr:colOff>1482706</xdr:colOff>
      <xdr:row>70</xdr:row>
      <xdr:rowOff>3208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E15CD28-35F7-407C-8655-44CE643776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67833" y="9207500"/>
          <a:ext cx="9422696" cy="294960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4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1008"/>
  <sheetViews>
    <sheetView tabSelected="1" zoomScaleNormal="100" workbookViewId="0">
      <selection activeCell="H17" sqref="H17"/>
    </sheetView>
  </sheetViews>
  <sheetFormatPr defaultColWidth="8.86328125" defaultRowHeight="14.25" x14ac:dyDescent="0.45"/>
  <cols>
    <col min="1" max="1" width="20.265625" style="1" bestFit="1" customWidth="1"/>
    <col min="2" max="2" width="13.3984375" customWidth="1"/>
    <col min="3" max="4" width="14.265625" bestFit="1" customWidth="1"/>
    <col min="5" max="5" width="15.265625" bestFit="1" customWidth="1"/>
    <col min="6" max="6" width="14.265625" bestFit="1" customWidth="1"/>
    <col min="7" max="9" width="15.265625" bestFit="1" customWidth="1"/>
    <col min="10" max="10" width="11.3984375" customWidth="1"/>
    <col min="11" max="11" width="15" bestFit="1" customWidth="1"/>
    <col min="12" max="15" width="11.3984375" customWidth="1"/>
  </cols>
  <sheetData>
    <row r="1" spans="1:15" ht="15" x14ac:dyDescent="0.2">
      <c r="A1" s="18" t="s">
        <v>127</v>
      </c>
    </row>
    <row r="2" spans="1:15" ht="15" x14ac:dyDescent="0.2">
      <c r="A2" s="18" t="s">
        <v>112</v>
      </c>
    </row>
    <row r="3" spans="1:15" ht="15" x14ac:dyDescent="0.2">
      <c r="A3" s="18" t="s">
        <v>113</v>
      </c>
    </row>
    <row r="5" spans="1:15" ht="15.95" thickBot="1" x14ac:dyDescent="0.25"/>
    <row r="6" spans="1:15" ht="15" x14ac:dyDescent="0.2">
      <c r="A6" s="24"/>
      <c r="B6" s="88" t="s">
        <v>129</v>
      </c>
      <c r="C6" s="89"/>
      <c r="D6" s="89"/>
      <c r="E6" s="90"/>
      <c r="F6" s="85" t="s">
        <v>130</v>
      </c>
      <c r="G6" s="86"/>
      <c r="H6" s="86"/>
      <c r="I6" s="87"/>
      <c r="J6" s="88" t="s">
        <v>89</v>
      </c>
      <c r="K6" s="89"/>
      <c r="L6" s="90"/>
      <c r="M6" s="85" t="s">
        <v>27</v>
      </c>
      <c r="N6" s="86"/>
      <c r="O6" s="87"/>
    </row>
    <row r="7" spans="1:15" s="14" customFormat="1" ht="30" x14ac:dyDescent="0.2">
      <c r="A7" s="25" t="s">
        <v>9</v>
      </c>
      <c r="B7" s="29" t="s">
        <v>3</v>
      </c>
      <c r="C7" s="13" t="s">
        <v>88</v>
      </c>
      <c r="D7" s="12" t="s">
        <v>0</v>
      </c>
      <c r="E7" s="30" t="s">
        <v>17</v>
      </c>
      <c r="F7" s="29" t="s">
        <v>3</v>
      </c>
      <c r="G7" s="13" t="s">
        <v>88</v>
      </c>
      <c r="H7" s="12" t="s">
        <v>0</v>
      </c>
      <c r="I7" s="30" t="s">
        <v>17</v>
      </c>
      <c r="J7" s="29" t="s">
        <v>28</v>
      </c>
      <c r="K7" s="12" t="s">
        <v>29</v>
      </c>
      <c r="L7" s="30" t="s">
        <v>30</v>
      </c>
      <c r="M7" s="29" t="s">
        <v>28</v>
      </c>
      <c r="N7" s="12" t="s">
        <v>29</v>
      </c>
      <c r="O7" s="30" t="s">
        <v>30</v>
      </c>
    </row>
    <row r="8" spans="1:15" ht="15" x14ac:dyDescent="0.2">
      <c r="A8" s="26" t="s">
        <v>10</v>
      </c>
      <c r="B8" s="31">
        <f>Residential!$D$18</f>
        <v>334357.09999999998</v>
      </c>
      <c r="C8" s="32">
        <f>Residential!$D$35-SUM(Residential!$D$33:$D$34)</f>
        <v>4860525.9999999981</v>
      </c>
      <c r="D8" s="32">
        <f>SUM(Residential!$D$33:$D$34)</f>
        <v>9303146.9000000004</v>
      </c>
      <c r="E8" s="33">
        <f>Residential!$D$36</f>
        <v>14498029.999999998</v>
      </c>
      <c r="F8" s="31">
        <f>Residential!$E$18</f>
        <v>342000</v>
      </c>
      <c r="G8" s="21">
        <f>Residential!$E$35-SUM(Residential!$E$33:$E$34)</f>
        <v>6471000</v>
      </c>
      <c r="H8" s="21">
        <f>SUM(Residential!$E$33:$E$34)</f>
        <v>9790000</v>
      </c>
      <c r="I8" s="34">
        <f>Residential!$E$36</f>
        <v>16603000</v>
      </c>
      <c r="J8" s="35">
        <v>2916843.57</v>
      </c>
      <c r="K8" s="36">
        <f>1537.811907048*1000</f>
        <v>1537811.907048</v>
      </c>
      <c r="L8" s="56">
        <f>373541.715/1000000</f>
        <v>0.37354171500000005</v>
      </c>
      <c r="M8" s="35">
        <f>1500000+1500000</f>
        <v>3000000</v>
      </c>
      <c r="N8" s="38">
        <f>1500+150</f>
        <v>1650</v>
      </c>
      <c r="O8" s="57">
        <f>(300000+150000)/1000000</f>
        <v>0.45</v>
      </c>
    </row>
    <row r="9" spans="1:15" ht="15" x14ac:dyDescent="0.2">
      <c r="A9" s="26" t="s">
        <v>13</v>
      </c>
      <c r="B9" s="31">
        <f>Commercial!D18</f>
        <v>10604.59</v>
      </c>
      <c r="C9" s="32">
        <f>Commercial!D35-SUM(Commercial!D33:D34)</f>
        <v>111826.47000000002</v>
      </c>
      <c r="D9" s="32">
        <f>SUM(Commercial!D33:D34)</f>
        <v>0</v>
      </c>
      <c r="E9" s="33">
        <f>Commercial!D36</f>
        <v>122431.06000000001</v>
      </c>
      <c r="F9" s="31">
        <f>Commercial!E18</f>
        <v>34000</v>
      </c>
      <c r="G9" s="21">
        <f>Commercial!E35-SUM(Commercial!E33:E34)</f>
        <v>2509000</v>
      </c>
      <c r="H9" s="21">
        <f>SUM(Commercial!E33:E34)</f>
        <v>500000</v>
      </c>
      <c r="I9" s="34">
        <f>Commercial!E36</f>
        <v>3043000</v>
      </c>
      <c r="J9" s="35">
        <v>0</v>
      </c>
      <c r="K9" s="36">
        <v>0</v>
      </c>
      <c r="L9" s="37">
        <v>0</v>
      </c>
      <c r="M9" s="35">
        <v>2600000</v>
      </c>
      <c r="N9" s="38">
        <v>945</v>
      </c>
      <c r="O9" s="57">
        <v>0.3</v>
      </c>
    </row>
    <row r="10" spans="1:15" ht="15" x14ac:dyDescent="0.2">
      <c r="A10" s="26" t="s">
        <v>14</v>
      </c>
      <c r="B10" s="40"/>
      <c r="C10" s="41"/>
      <c r="D10" s="41"/>
      <c r="E10" s="42"/>
      <c r="F10" s="40"/>
      <c r="G10" s="41"/>
      <c r="H10" s="41"/>
      <c r="I10" s="42"/>
      <c r="J10" s="43"/>
      <c r="K10" s="44"/>
      <c r="L10" s="45"/>
      <c r="M10" s="43"/>
      <c r="N10" s="44"/>
      <c r="O10" s="45"/>
    </row>
    <row r="11" spans="1:15" ht="15" x14ac:dyDescent="0.2">
      <c r="A11" s="26" t="s">
        <v>15</v>
      </c>
      <c r="B11" s="40"/>
      <c r="C11" s="41"/>
      <c r="D11" s="41"/>
      <c r="E11" s="42"/>
      <c r="F11" s="40"/>
      <c r="G11" s="41"/>
      <c r="H11" s="41"/>
      <c r="I11" s="42"/>
      <c r="J11" s="43"/>
      <c r="K11" s="44"/>
      <c r="L11" s="45"/>
      <c r="M11" s="43"/>
      <c r="N11" s="44"/>
      <c r="O11" s="45"/>
    </row>
    <row r="12" spans="1:15" ht="15" x14ac:dyDescent="0.2">
      <c r="A12" s="26" t="s">
        <v>16</v>
      </c>
      <c r="B12" s="31">
        <f>'Public Sector'!D18</f>
        <v>0</v>
      </c>
      <c r="C12" s="32">
        <f>'Public Sector'!D35-SUM('Public Sector'!D33:D34)</f>
        <v>0</v>
      </c>
      <c r="D12" s="32">
        <f>SUM('Public Sector'!D33:D34)</f>
        <v>0</v>
      </c>
      <c r="E12" s="33">
        <f>'Public Sector'!D36</f>
        <v>0</v>
      </c>
      <c r="F12" s="31">
        <f>'Public Sector'!E18</f>
        <v>20000</v>
      </c>
      <c r="G12" s="21">
        <f>'Public Sector'!E35-SUM('Public Sector'!E33:E34)</f>
        <v>480000</v>
      </c>
      <c r="H12" s="21">
        <f>SUM('Public Sector'!E33:E34)</f>
        <v>0</v>
      </c>
      <c r="I12" s="34">
        <f>'Public Sector'!E36</f>
        <v>500000</v>
      </c>
      <c r="J12" s="35">
        <v>0</v>
      </c>
      <c r="K12" s="36">
        <v>0</v>
      </c>
      <c r="L12" s="37">
        <v>0</v>
      </c>
      <c r="M12" s="35">
        <v>1300000</v>
      </c>
      <c r="N12" s="38">
        <v>270</v>
      </c>
      <c r="O12" s="57">
        <f>110000/1000000</f>
        <v>0.11</v>
      </c>
    </row>
    <row r="13" spans="1:15" ht="15" x14ac:dyDescent="0.2">
      <c r="A13" s="27" t="s">
        <v>92</v>
      </c>
      <c r="B13" s="31">
        <f>'Cross cutting'!D18</f>
        <v>140473.82999999999</v>
      </c>
      <c r="C13" s="32">
        <f>'Cross cutting'!D35-SUM('Cross cutting'!D33:D34)</f>
        <v>1724090.01</v>
      </c>
      <c r="D13" s="32">
        <f>SUM('Cross cutting'!D33:D34)</f>
        <v>0</v>
      </c>
      <c r="E13" s="33">
        <f>'Cross cutting'!D36</f>
        <v>1864563.84</v>
      </c>
      <c r="F13" s="31">
        <f>'Cross cutting'!E18</f>
        <v>530000</v>
      </c>
      <c r="G13" s="21">
        <f>'Cross cutting'!E35-SUM('Cross cutting'!E33:E34)</f>
        <v>2551000</v>
      </c>
      <c r="H13" s="21">
        <f>SUM('Cross cutting'!E33:E34)</f>
        <v>0</v>
      </c>
      <c r="I13" s="34">
        <f>'Cross cutting'!E36</f>
        <v>3081000</v>
      </c>
      <c r="J13" s="35">
        <v>0</v>
      </c>
      <c r="K13" s="36">
        <v>0</v>
      </c>
      <c r="L13" s="37">
        <v>0</v>
      </c>
      <c r="M13" s="35">
        <v>0</v>
      </c>
      <c r="N13" s="38">
        <v>0</v>
      </c>
      <c r="O13" s="57">
        <v>0</v>
      </c>
    </row>
    <row r="14" spans="1:15" ht="15" x14ac:dyDescent="0.2">
      <c r="A14" s="28" t="s">
        <v>17</v>
      </c>
      <c r="B14" s="46">
        <f>SUM(B8:B13)</f>
        <v>485435.52</v>
      </c>
      <c r="C14" s="47">
        <f t="shared" ref="C14:O14" si="0">SUM(C8:C13)</f>
        <v>6696442.4799999977</v>
      </c>
      <c r="D14" s="47">
        <f t="shared" si="0"/>
        <v>9303146.9000000004</v>
      </c>
      <c r="E14" s="48">
        <f t="shared" si="0"/>
        <v>16485024.899999999</v>
      </c>
      <c r="F14" s="46">
        <f t="shared" si="0"/>
        <v>926000</v>
      </c>
      <c r="G14" s="47">
        <f t="shared" si="0"/>
        <v>12011000</v>
      </c>
      <c r="H14" s="47">
        <f t="shared" si="0"/>
        <v>10290000</v>
      </c>
      <c r="I14" s="48">
        <f t="shared" si="0"/>
        <v>23227000</v>
      </c>
      <c r="J14" s="49">
        <f t="shared" si="0"/>
        <v>2916843.57</v>
      </c>
      <c r="K14" s="50">
        <f t="shared" si="0"/>
        <v>1537811.907048</v>
      </c>
      <c r="L14" s="82">
        <f t="shared" si="0"/>
        <v>0.37354171500000005</v>
      </c>
      <c r="M14" s="49">
        <f t="shared" si="0"/>
        <v>6900000</v>
      </c>
      <c r="N14" s="81">
        <f t="shared" si="0"/>
        <v>2865</v>
      </c>
      <c r="O14" s="82">
        <f t="shared" si="0"/>
        <v>0.86</v>
      </c>
    </row>
    <row r="15" spans="1:15" ht="15" x14ac:dyDescent="0.2">
      <c r="A15" s="26" t="s">
        <v>106</v>
      </c>
      <c r="B15" s="31"/>
      <c r="C15" s="32"/>
      <c r="D15" s="32"/>
      <c r="E15" s="33">
        <f>SUM(B15:D15)</f>
        <v>0</v>
      </c>
      <c r="F15" s="31"/>
      <c r="G15" s="21">
        <v>400950</v>
      </c>
      <c r="H15" s="21"/>
      <c r="I15" s="34">
        <f>SUM(F15:H15)</f>
        <v>400950</v>
      </c>
      <c r="J15" s="35"/>
      <c r="K15" s="36"/>
      <c r="L15" s="37"/>
      <c r="M15" s="35"/>
      <c r="N15" s="38"/>
      <c r="O15" s="39"/>
    </row>
    <row r="16" spans="1:15" ht="15" x14ac:dyDescent="0.25">
      <c r="A16" s="26" t="s">
        <v>107</v>
      </c>
      <c r="B16" s="31"/>
      <c r="C16" s="32"/>
      <c r="D16" s="32"/>
      <c r="E16" s="33">
        <f>SUM(B16:D16)</f>
        <v>0</v>
      </c>
      <c r="F16" s="31"/>
      <c r="G16" s="21"/>
      <c r="H16" s="21"/>
      <c r="I16" s="34">
        <f>SUM(F16:H16)</f>
        <v>0</v>
      </c>
      <c r="J16" s="35"/>
      <c r="K16" s="36"/>
      <c r="L16" s="37"/>
      <c r="M16" s="35"/>
      <c r="N16" s="38"/>
      <c r="O16" s="39"/>
    </row>
    <row r="17" spans="1:15" ht="15" x14ac:dyDescent="0.25">
      <c r="A17" s="26" t="s">
        <v>94</v>
      </c>
      <c r="B17" s="31"/>
      <c r="C17" s="32">
        <v>380000</v>
      </c>
      <c r="D17" s="32"/>
      <c r="E17" s="33">
        <f>SUM(B17:D17)</f>
        <v>380000</v>
      </c>
      <c r="F17" s="31"/>
      <c r="G17" s="21">
        <f>830000</f>
        <v>830000</v>
      </c>
      <c r="I17" s="34">
        <f>SUM(F17:H17)</f>
        <v>830000</v>
      </c>
      <c r="J17" s="35"/>
      <c r="K17" s="36"/>
      <c r="L17" s="37"/>
      <c r="M17" s="35"/>
      <c r="N17" s="38"/>
      <c r="O17" s="39"/>
    </row>
    <row r="18" spans="1:15" ht="15" x14ac:dyDescent="0.25">
      <c r="A18" s="26" t="s">
        <v>125</v>
      </c>
      <c r="B18" s="31"/>
      <c r="C18" s="32"/>
      <c r="D18" s="32"/>
      <c r="E18" s="33">
        <f>SUM(B18:D18)</f>
        <v>0</v>
      </c>
      <c r="F18" s="31"/>
      <c r="G18" s="21"/>
      <c r="H18" s="21"/>
      <c r="I18" s="34">
        <f>SUM(F18:H18)</f>
        <v>0</v>
      </c>
      <c r="J18" s="35"/>
      <c r="K18" s="36"/>
      <c r="L18" s="37"/>
      <c r="M18" s="35"/>
      <c r="N18" s="38"/>
      <c r="O18" s="39"/>
    </row>
    <row r="19" spans="1:15" ht="15" x14ac:dyDescent="0.25">
      <c r="A19" s="26" t="s">
        <v>126</v>
      </c>
      <c r="B19" s="31"/>
      <c r="C19" s="32"/>
      <c r="D19" s="32"/>
      <c r="E19" s="33">
        <f>SUM(B19:D19)</f>
        <v>0</v>
      </c>
      <c r="F19" s="31"/>
      <c r="G19" s="21"/>
      <c r="H19" s="21"/>
      <c r="I19" s="34">
        <f>SUM(F19:H19)</f>
        <v>0</v>
      </c>
      <c r="J19" s="35"/>
      <c r="K19" s="36"/>
      <c r="L19" s="37"/>
      <c r="M19" s="35"/>
      <c r="N19" s="38"/>
      <c r="O19" s="39"/>
    </row>
    <row r="20" spans="1:15" ht="15.95" thickBot="1" x14ac:dyDescent="0.25">
      <c r="A20" s="28" t="s">
        <v>12</v>
      </c>
      <c r="B20" s="51">
        <f t="shared" ref="B20:H20" si="1">B14+SUM(B15:B19)</f>
        <v>485435.52</v>
      </c>
      <c r="C20" s="52">
        <f t="shared" si="1"/>
        <v>7076442.4799999977</v>
      </c>
      <c r="D20" s="52">
        <f t="shared" si="1"/>
        <v>9303146.9000000004</v>
      </c>
      <c r="E20" s="53">
        <f t="shared" si="1"/>
        <v>16865024.899999999</v>
      </c>
      <c r="F20" s="51">
        <f t="shared" si="1"/>
        <v>926000</v>
      </c>
      <c r="G20" s="52">
        <f t="shared" si="1"/>
        <v>13241950</v>
      </c>
      <c r="H20" s="52">
        <f t="shared" si="1"/>
        <v>10290000</v>
      </c>
      <c r="I20" s="53">
        <f t="shared" ref="I20:O20" si="2">I14+SUM(I15:I19)</f>
        <v>24457950</v>
      </c>
      <c r="J20" s="54">
        <f t="shared" si="2"/>
        <v>2916843.57</v>
      </c>
      <c r="K20" s="55">
        <f t="shared" si="2"/>
        <v>1537811.907048</v>
      </c>
      <c r="L20" s="84">
        <f t="shared" si="2"/>
        <v>0.37354171500000005</v>
      </c>
      <c r="M20" s="54">
        <f t="shared" si="2"/>
        <v>6900000</v>
      </c>
      <c r="N20" s="83">
        <f t="shared" si="2"/>
        <v>2865</v>
      </c>
      <c r="O20" s="84">
        <f t="shared" si="2"/>
        <v>0.86</v>
      </c>
    </row>
    <row r="21" spans="1:15" ht="15" x14ac:dyDescent="0.2">
      <c r="A21" s="6" t="s">
        <v>93</v>
      </c>
    </row>
    <row r="22" spans="1:15" ht="15" x14ac:dyDescent="0.2">
      <c r="A22" s="6" t="s">
        <v>128</v>
      </c>
    </row>
    <row r="23" spans="1:15" ht="15" x14ac:dyDescent="0.2">
      <c r="A23"/>
    </row>
    <row r="24" spans="1:15" ht="15" x14ac:dyDescent="0.2">
      <c r="A24"/>
    </row>
    <row r="25" spans="1:15" ht="15" x14ac:dyDescent="0.2">
      <c r="A25"/>
    </row>
    <row r="26" spans="1:15" ht="15" x14ac:dyDescent="0.2">
      <c r="A26"/>
      <c r="K26" s="74"/>
    </row>
    <row r="27" spans="1:15" ht="15" x14ac:dyDescent="0.2">
      <c r="A27"/>
    </row>
    <row r="28" spans="1:15" ht="15" x14ac:dyDescent="0.2">
      <c r="A28"/>
    </row>
    <row r="29" spans="1:15" ht="15" x14ac:dyDescent="0.2">
      <c r="A29"/>
    </row>
    <row r="30" spans="1:15" ht="15" x14ac:dyDescent="0.25">
      <c r="A30"/>
    </row>
    <row r="31" spans="1:15" ht="15" x14ac:dyDescent="0.25">
      <c r="A31"/>
    </row>
    <row r="32" spans="1:15" ht="15" x14ac:dyDescent="0.25">
      <c r="A32"/>
    </row>
    <row r="33" spans="1:1" ht="15" x14ac:dyDescent="0.25">
      <c r="A33"/>
    </row>
    <row r="34" spans="1:1" ht="15" x14ac:dyDescent="0.25">
      <c r="A34"/>
    </row>
    <row r="35" spans="1:1" ht="15" x14ac:dyDescent="0.25">
      <c r="A35"/>
    </row>
    <row r="36" spans="1:1" ht="15" x14ac:dyDescent="0.25">
      <c r="A36"/>
    </row>
    <row r="37" spans="1:1" ht="15" x14ac:dyDescent="0.25">
      <c r="A37"/>
    </row>
    <row r="38" spans="1:1" ht="15" x14ac:dyDescent="0.25">
      <c r="A38"/>
    </row>
    <row r="39" spans="1:1" ht="15" x14ac:dyDescent="0.25">
      <c r="A39"/>
    </row>
    <row r="40" spans="1:1" ht="15" x14ac:dyDescent="0.25">
      <c r="A40"/>
    </row>
    <row r="41" spans="1:1" ht="15" x14ac:dyDescent="0.25">
      <c r="A41"/>
    </row>
    <row r="42" spans="1:1" ht="15" x14ac:dyDescent="0.25">
      <c r="A42"/>
    </row>
    <row r="43" spans="1:1" ht="15" x14ac:dyDescent="0.25">
      <c r="A43"/>
    </row>
    <row r="44" spans="1:1" ht="15" x14ac:dyDescent="0.25">
      <c r="A44"/>
    </row>
    <row r="45" spans="1:1" ht="15" x14ac:dyDescent="0.25">
      <c r="A45"/>
    </row>
    <row r="46" spans="1:1" ht="15" x14ac:dyDescent="0.25">
      <c r="A46"/>
    </row>
    <row r="47" spans="1:1" x14ac:dyDescent="0.45">
      <c r="A47"/>
    </row>
    <row r="48" spans="1:1" x14ac:dyDescent="0.45">
      <c r="A48"/>
    </row>
    <row r="49" spans="1:1" x14ac:dyDescent="0.45">
      <c r="A49"/>
    </row>
    <row r="50" spans="1:1" x14ac:dyDescent="0.45">
      <c r="A50"/>
    </row>
    <row r="51" spans="1:1" x14ac:dyDescent="0.45">
      <c r="A51"/>
    </row>
    <row r="52" spans="1:1" x14ac:dyDescent="0.45">
      <c r="A52"/>
    </row>
    <row r="53" spans="1:1" x14ac:dyDescent="0.45">
      <c r="A53"/>
    </row>
    <row r="54" spans="1:1" x14ac:dyDescent="0.45">
      <c r="A54"/>
    </row>
    <row r="55" spans="1:1" x14ac:dyDescent="0.45">
      <c r="A55"/>
    </row>
    <row r="56" spans="1:1" x14ac:dyDescent="0.45">
      <c r="A56"/>
    </row>
    <row r="57" spans="1:1" x14ac:dyDescent="0.45">
      <c r="A57"/>
    </row>
    <row r="58" spans="1:1" x14ac:dyDescent="0.45">
      <c r="A58"/>
    </row>
    <row r="59" spans="1:1" x14ac:dyDescent="0.45">
      <c r="A59"/>
    </row>
    <row r="60" spans="1:1" x14ac:dyDescent="0.45">
      <c r="A60"/>
    </row>
    <row r="61" spans="1:1" x14ac:dyDescent="0.45">
      <c r="A61"/>
    </row>
    <row r="62" spans="1:1" x14ac:dyDescent="0.45">
      <c r="A62"/>
    </row>
    <row r="63" spans="1:1" x14ac:dyDescent="0.45">
      <c r="A63"/>
    </row>
    <row r="64" spans="1:1" x14ac:dyDescent="0.45">
      <c r="A64"/>
    </row>
    <row r="65" spans="1:1" x14ac:dyDescent="0.45">
      <c r="A65"/>
    </row>
    <row r="66" spans="1:1" x14ac:dyDescent="0.45">
      <c r="A66"/>
    </row>
    <row r="67" spans="1:1" x14ac:dyDescent="0.45">
      <c r="A67"/>
    </row>
    <row r="68" spans="1:1" x14ac:dyDescent="0.45">
      <c r="A68"/>
    </row>
    <row r="69" spans="1:1" x14ac:dyDescent="0.45">
      <c r="A69"/>
    </row>
    <row r="70" spans="1:1" x14ac:dyDescent="0.45">
      <c r="A70"/>
    </row>
    <row r="71" spans="1:1" x14ac:dyDescent="0.45">
      <c r="A71"/>
    </row>
    <row r="72" spans="1:1" x14ac:dyDescent="0.45">
      <c r="A72"/>
    </row>
    <row r="73" spans="1:1" x14ac:dyDescent="0.45">
      <c r="A73"/>
    </row>
    <row r="74" spans="1:1" x14ac:dyDescent="0.45">
      <c r="A74"/>
    </row>
    <row r="75" spans="1:1" x14ac:dyDescent="0.45">
      <c r="A75"/>
    </row>
    <row r="76" spans="1:1" x14ac:dyDescent="0.45">
      <c r="A76"/>
    </row>
    <row r="77" spans="1:1" x14ac:dyDescent="0.45">
      <c r="A77"/>
    </row>
    <row r="78" spans="1:1" x14ac:dyDescent="0.45">
      <c r="A78"/>
    </row>
    <row r="79" spans="1:1" x14ac:dyDescent="0.45">
      <c r="A79"/>
    </row>
    <row r="80" spans="1:1" x14ac:dyDescent="0.45">
      <c r="A80"/>
    </row>
    <row r="81" spans="1:1" x14ac:dyDescent="0.45">
      <c r="A81"/>
    </row>
    <row r="82" spans="1:1" x14ac:dyDescent="0.45">
      <c r="A82"/>
    </row>
    <row r="83" spans="1:1" x14ac:dyDescent="0.45">
      <c r="A83"/>
    </row>
    <row r="84" spans="1:1" x14ac:dyDescent="0.45">
      <c r="A84"/>
    </row>
    <row r="85" spans="1:1" x14ac:dyDescent="0.45">
      <c r="A85"/>
    </row>
    <row r="86" spans="1:1" x14ac:dyDescent="0.45">
      <c r="A86"/>
    </row>
    <row r="87" spans="1:1" x14ac:dyDescent="0.45">
      <c r="A87"/>
    </row>
    <row r="88" spans="1:1" x14ac:dyDescent="0.45">
      <c r="A88"/>
    </row>
    <row r="89" spans="1:1" x14ac:dyDescent="0.45">
      <c r="A89"/>
    </row>
    <row r="90" spans="1:1" x14ac:dyDescent="0.45">
      <c r="A90"/>
    </row>
    <row r="91" spans="1:1" x14ac:dyDescent="0.45">
      <c r="A91"/>
    </row>
    <row r="92" spans="1:1" x14ac:dyDescent="0.45">
      <c r="A92"/>
    </row>
    <row r="93" spans="1:1" x14ac:dyDescent="0.45">
      <c r="A93"/>
    </row>
    <row r="94" spans="1:1" x14ac:dyDescent="0.45">
      <c r="A94"/>
    </row>
    <row r="95" spans="1:1" x14ac:dyDescent="0.45">
      <c r="A95"/>
    </row>
    <row r="96" spans="1:1" x14ac:dyDescent="0.45">
      <c r="A96"/>
    </row>
    <row r="97" spans="1:1" x14ac:dyDescent="0.45">
      <c r="A97"/>
    </row>
    <row r="98" spans="1:1" x14ac:dyDescent="0.45">
      <c r="A98"/>
    </row>
    <row r="99" spans="1:1" x14ac:dyDescent="0.45">
      <c r="A99"/>
    </row>
    <row r="100" spans="1:1" x14ac:dyDescent="0.45">
      <c r="A100"/>
    </row>
    <row r="101" spans="1:1" x14ac:dyDescent="0.45">
      <c r="A101"/>
    </row>
    <row r="102" spans="1:1" x14ac:dyDescent="0.45">
      <c r="A102"/>
    </row>
    <row r="103" spans="1:1" x14ac:dyDescent="0.45">
      <c r="A103"/>
    </row>
    <row r="104" spans="1:1" x14ac:dyDescent="0.45">
      <c r="A104"/>
    </row>
    <row r="105" spans="1:1" x14ac:dyDescent="0.45">
      <c r="A105"/>
    </row>
    <row r="106" spans="1:1" x14ac:dyDescent="0.45">
      <c r="A106"/>
    </row>
    <row r="107" spans="1:1" x14ac:dyDescent="0.45">
      <c r="A107"/>
    </row>
    <row r="108" spans="1:1" x14ac:dyDescent="0.45">
      <c r="A108"/>
    </row>
    <row r="109" spans="1:1" x14ac:dyDescent="0.45">
      <c r="A109"/>
    </row>
    <row r="110" spans="1:1" x14ac:dyDescent="0.45">
      <c r="A110"/>
    </row>
    <row r="111" spans="1:1" x14ac:dyDescent="0.45">
      <c r="A111"/>
    </row>
    <row r="112" spans="1:1" x14ac:dyDescent="0.45">
      <c r="A112"/>
    </row>
    <row r="113" spans="1:1" x14ac:dyDescent="0.45">
      <c r="A113"/>
    </row>
    <row r="114" spans="1:1" x14ac:dyDescent="0.45">
      <c r="A114"/>
    </row>
    <row r="115" spans="1:1" x14ac:dyDescent="0.45">
      <c r="A115"/>
    </row>
    <row r="116" spans="1:1" x14ac:dyDescent="0.45">
      <c r="A116"/>
    </row>
    <row r="117" spans="1:1" x14ac:dyDescent="0.45">
      <c r="A117"/>
    </row>
    <row r="118" spans="1:1" x14ac:dyDescent="0.45">
      <c r="A118"/>
    </row>
    <row r="119" spans="1:1" x14ac:dyDescent="0.45">
      <c r="A119"/>
    </row>
    <row r="120" spans="1:1" x14ac:dyDescent="0.45">
      <c r="A120"/>
    </row>
    <row r="121" spans="1:1" x14ac:dyDescent="0.45">
      <c r="A121"/>
    </row>
    <row r="122" spans="1:1" x14ac:dyDescent="0.45">
      <c r="A122"/>
    </row>
    <row r="123" spans="1:1" x14ac:dyDescent="0.45">
      <c r="A123"/>
    </row>
    <row r="124" spans="1:1" x14ac:dyDescent="0.45">
      <c r="A124"/>
    </row>
    <row r="125" spans="1:1" x14ac:dyDescent="0.45">
      <c r="A125"/>
    </row>
    <row r="126" spans="1:1" x14ac:dyDescent="0.45">
      <c r="A126"/>
    </row>
    <row r="127" spans="1:1" x14ac:dyDescent="0.45">
      <c r="A127"/>
    </row>
    <row r="128" spans="1:1" x14ac:dyDescent="0.45">
      <c r="A128"/>
    </row>
    <row r="129" spans="1:1" x14ac:dyDescent="0.45">
      <c r="A129"/>
    </row>
    <row r="130" spans="1:1" x14ac:dyDescent="0.45">
      <c r="A130"/>
    </row>
    <row r="131" spans="1:1" x14ac:dyDescent="0.45">
      <c r="A131"/>
    </row>
    <row r="132" spans="1:1" x14ac:dyDescent="0.45">
      <c r="A132"/>
    </row>
    <row r="133" spans="1:1" x14ac:dyDescent="0.45">
      <c r="A133"/>
    </row>
    <row r="134" spans="1:1" x14ac:dyDescent="0.45">
      <c r="A134"/>
    </row>
    <row r="135" spans="1:1" x14ac:dyDescent="0.45">
      <c r="A135"/>
    </row>
    <row r="136" spans="1:1" x14ac:dyDescent="0.45">
      <c r="A136"/>
    </row>
    <row r="137" spans="1:1" x14ac:dyDescent="0.45">
      <c r="A137"/>
    </row>
    <row r="138" spans="1:1" x14ac:dyDescent="0.45">
      <c r="A138"/>
    </row>
    <row r="139" spans="1:1" x14ac:dyDescent="0.45">
      <c r="A139"/>
    </row>
    <row r="140" spans="1:1" x14ac:dyDescent="0.45">
      <c r="A140"/>
    </row>
    <row r="141" spans="1:1" x14ac:dyDescent="0.45">
      <c r="A141"/>
    </row>
    <row r="142" spans="1:1" x14ac:dyDescent="0.45">
      <c r="A142"/>
    </row>
    <row r="143" spans="1:1" x14ac:dyDescent="0.45">
      <c r="A143"/>
    </row>
    <row r="144" spans="1:1" x14ac:dyDescent="0.45">
      <c r="A144"/>
    </row>
    <row r="145" spans="1:1" x14ac:dyDescent="0.45">
      <c r="A145"/>
    </row>
    <row r="146" spans="1:1" x14ac:dyDescent="0.45">
      <c r="A146"/>
    </row>
    <row r="147" spans="1:1" x14ac:dyDescent="0.45">
      <c r="A147"/>
    </row>
    <row r="148" spans="1:1" x14ac:dyDescent="0.45">
      <c r="A148"/>
    </row>
    <row r="149" spans="1:1" x14ac:dyDescent="0.45">
      <c r="A149"/>
    </row>
    <row r="150" spans="1:1" x14ac:dyDescent="0.45">
      <c r="A150"/>
    </row>
    <row r="151" spans="1:1" x14ac:dyDescent="0.45">
      <c r="A151"/>
    </row>
    <row r="152" spans="1:1" x14ac:dyDescent="0.45">
      <c r="A152"/>
    </row>
    <row r="153" spans="1:1" x14ac:dyDescent="0.45">
      <c r="A153"/>
    </row>
    <row r="154" spans="1:1" x14ac:dyDescent="0.45">
      <c r="A154"/>
    </row>
    <row r="155" spans="1:1" x14ac:dyDescent="0.45">
      <c r="A155"/>
    </row>
    <row r="156" spans="1:1" x14ac:dyDescent="0.45">
      <c r="A156"/>
    </row>
    <row r="157" spans="1:1" x14ac:dyDescent="0.45">
      <c r="A157"/>
    </row>
    <row r="158" spans="1:1" x14ac:dyDescent="0.45">
      <c r="A158"/>
    </row>
    <row r="159" spans="1:1" x14ac:dyDescent="0.45">
      <c r="A159"/>
    </row>
    <row r="160" spans="1:1" x14ac:dyDescent="0.45">
      <c r="A160"/>
    </row>
    <row r="161" spans="1:1" x14ac:dyDescent="0.45">
      <c r="A161"/>
    </row>
    <row r="162" spans="1:1" x14ac:dyDescent="0.45">
      <c r="A162"/>
    </row>
    <row r="163" spans="1:1" x14ac:dyDescent="0.45">
      <c r="A163"/>
    </row>
    <row r="164" spans="1:1" x14ac:dyDescent="0.45">
      <c r="A164"/>
    </row>
    <row r="165" spans="1:1" x14ac:dyDescent="0.45">
      <c r="A165"/>
    </row>
    <row r="166" spans="1:1" x14ac:dyDescent="0.45">
      <c r="A166"/>
    </row>
    <row r="167" spans="1:1" x14ac:dyDescent="0.45">
      <c r="A167"/>
    </row>
    <row r="168" spans="1:1" x14ac:dyDescent="0.45">
      <c r="A168"/>
    </row>
    <row r="169" spans="1:1" x14ac:dyDescent="0.45">
      <c r="A169"/>
    </row>
    <row r="170" spans="1:1" x14ac:dyDescent="0.45">
      <c r="A170"/>
    </row>
    <row r="171" spans="1:1" x14ac:dyDescent="0.45">
      <c r="A171"/>
    </row>
    <row r="172" spans="1:1" x14ac:dyDescent="0.45">
      <c r="A172"/>
    </row>
    <row r="173" spans="1:1" x14ac:dyDescent="0.45">
      <c r="A173"/>
    </row>
    <row r="174" spans="1:1" x14ac:dyDescent="0.45">
      <c r="A174"/>
    </row>
    <row r="175" spans="1:1" x14ac:dyDescent="0.45">
      <c r="A175"/>
    </row>
    <row r="176" spans="1:1" x14ac:dyDescent="0.45">
      <c r="A176"/>
    </row>
    <row r="177" spans="1:1" x14ac:dyDescent="0.45">
      <c r="A177"/>
    </row>
    <row r="178" spans="1:1" x14ac:dyDescent="0.45">
      <c r="A178"/>
    </row>
    <row r="179" spans="1:1" x14ac:dyDescent="0.45">
      <c r="A179"/>
    </row>
    <row r="180" spans="1:1" x14ac:dyDescent="0.45">
      <c r="A180"/>
    </row>
    <row r="181" spans="1:1" x14ac:dyDescent="0.45">
      <c r="A181"/>
    </row>
    <row r="182" spans="1:1" x14ac:dyDescent="0.45">
      <c r="A182"/>
    </row>
    <row r="183" spans="1:1" x14ac:dyDescent="0.45">
      <c r="A183"/>
    </row>
    <row r="184" spans="1:1" x14ac:dyDescent="0.45">
      <c r="A184"/>
    </row>
    <row r="185" spans="1:1" x14ac:dyDescent="0.45">
      <c r="A185"/>
    </row>
    <row r="186" spans="1:1" x14ac:dyDescent="0.45">
      <c r="A186"/>
    </row>
    <row r="187" spans="1:1" x14ac:dyDescent="0.45">
      <c r="A187"/>
    </row>
    <row r="188" spans="1:1" x14ac:dyDescent="0.45">
      <c r="A188"/>
    </row>
    <row r="189" spans="1:1" x14ac:dyDescent="0.45">
      <c r="A189"/>
    </row>
    <row r="190" spans="1:1" x14ac:dyDescent="0.45">
      <c r="A190"/>
    </row>
    <row r="191" spans="1:1" x14ac:dyDescent="0.45">
      <c r="A191"/>
    </row>
    <row r="192" spans="1:1" x14ac:dyDescent="0.45">
      <c r="A192"/>
    </row>
    <row r="193" spans="1:1" x14ac:dyDescent="0.45">
      <c r="A193"/>
    </row>
    <row r="194" spans="1:1" x14ac:dyDescent="0.45">
      <c r="A194"/>
    </row>
    <row r="195" spans="1:1" x14ac:dyDescent="0.45">
      <c r="A195"/>
    </row>
    <row r="196" spans="1:1" x14ac:dyDescent="0.45">
      <c r="A196"/>
    </row>
    <row r="197" spans="1:1" x14ac:dyDescent="0.45">
      <c r="A197"/>
    </row>
    <row r="198" spans="1:1" x14ac:dyDescent="0.45">
      <c r="A198"/>
    </row>
    <row r="199" spans="1:1" x14ac:dyDescent="0.45">
      <c r="A199"/>
    </row>
    <row r="200" spans="1:1" x14ac:dyDescent="0.45">
      <c r="A200"/>
    </row>
    <row r="201" spans="1:1" x14ac:dyDescent="0.45">
      <c r="A201"/>
    </row>
    <row r="202" spans="1:1" x14ac:dyDescent="0.45">
      <c r="A202"/>
    </row>
    <row r="203" spans="1:1" x14ac:dyDescent="0.45">
      <c r="A203"/>
    </row>
    <row r="204" spans="1:1" x14ac:dyDescent="0.45">
      <c r="A204"/>
    </row>
    <row r="205" spans="1:1" x14ac:dyDescent="0.45">
      <c r="A205"/>
    </row>
    <row r="206" spans="1:1" x14ac:dyDescent="0.45">
      <c r="A206"/>
    </row>
    <row r="207" spans="1:1" x14ac:dyDescent="0.45">
      <c r="A207"/>
    </row>
    <row r="208" spans="1:1" x14ac:dyDescent="0.45">
      <c r="A208"/>
    </row>
    <row r="209" spans="1:1" x14ac:dyDescent="0.45">
      <c r="A209"/>
    </row>
    <row r="210" spans="1:1" x14ac:dyDescent="0.45">
      <c r="A210"/>
    </row>
    <row r="211" spans="1:1" x14ac:dyDescent="0.45">
      <c r="A211"/>
    </row>
    <row r="212" spans="1:1" x14ac:dyDescent="0.45">
      <c r="A212"/>
    </row>
    <row r="213" spans="1:1" x14ac:dyDescent="0.45">
      <c r="A213"/>
    </row>
    <row r="214" spans="1:1" x14ac:dyDescent="0.45">
      <c r="A214"/>
    </row>
    <row r="215" spans="1:1" x14ac:dyDescent="0.45">
      <c r="A215"/>
    </row>
    <row r="216" spans="1:1" x14ac:dyDescent="0.45">
      <c r="A216"/>
    </row>
    <row r="217" spans="1:1" x14ac:dyDescent="0.45">
      <c r="A217"/>
    </row>
    <row r="218" spans="1:1" x14ac:dyDescent="0.45">
      <c r="A218"/>
    </row>
    <row r="219" spans="1:1" x14ac:dyDescent="0.45">
      <c r="A219"/>
    </row>
    <row r="220" spans="1:1" x14ac:dyDescent="0.45">
      <c r="A220"/>
    </row>
    <row r="221" spans="1:1" x14ac:dyDescent="0.45">
      <c r="A221"/>
    </row>
    <row r="222" spans="1:1" x14ac:dyDescent="0.45">
      <c r="A222"/>
    </row>
    <row r="223" spans="1:1" x14ac:dyDescent="0.45">
      <c r="A223"/>
    </row>
    <row r="224" spans="1:1" x14ac:dyDescent="0.45">
      <c r="A224"/>
    </row>
    <row r="225" spans="1:1" x14ac:dyDescent="0.45">
      <c r="A225"/>
    </row>
    <row r="226" spans="1:1" x14ac:dyDescent="0.45">
      <c r="A226"/>
    </row>
    <row r="227" spans="1:1" x14ac:dyDescent="0.45">
      <c r="A227"/>
    </row>
    <row r="228" spans="1:1" x14ac:dyDescent="0.45">
      <c r="A228"/>
    </row>
    <row r="229" spans="1:1" x14ac:dyDescent="0.45">
      <c r="A229"/>
    </row>
    <row r="230" spans="1:1" x14ac:dyDescent="0.45">
      <c r="A230"/>
    </row>
    <row r="231" spans="1:1" x14ac:dyDescent="0.45">
      <c r="A231"/>
    </row>
    <row r="232" spans="1:1" x14ac:dyDescent="0.45">
      <c r="A232"/>
    </row>
    <row r="233" spans="1:1" x14ac:dyDescent="0.45">
      <c r="A233"/>
    </row>
    <row r="234" spans="1:1" x14ac:dyDescent="0.45">
      <c r="A234"/>
    </row>
    <row r="235" spans="1:1" x14ac:dyDescent="0.45">
      <c r="A235"/>
    </row>
    <row r="236" spans="1:1" x14ac:dyDescent="0.45">
      <c r="A236"/>
    </row>
    <row r="237" spans="1:1" x14ac:dyDescent="0.45">
      <c r="A237"/>
    </row>
    <row r="238" spans="1:1" x14ac:dyDescent="0.45">
      <c r="A238"/>
    </row>
    <row r="239" spans="1:1" x14ac:dyDescent="0.45">
      <c r="A239"/>
    </row>
    <row r="240" spans="1:1" x14ac:dyDescent="0.45">
      <c r="A240"/>
    </row>
    <row r="241" spans="1:1" x14ac:dyDescent="0.45">
      <c r="A241"/>
    </row>
    <row r="242" spans="1:1" x14ac:dyDescent="0.45">
      <c r="A242"/>
    </row>
    <row r="243" spans="1:1" x14ac:dyDescent="0.45">
      <c r="A243"/>
    </row>
    <row r="244" spans="1:1" x14ac:dyDescent="0.45">
      <c r="A244"/>
    </row>
    <row r="245" spans="1:1" x14ac:dyDescent="0.45">
      <c r="A245"/>
    </row>
    <row r="246" spans="1:1" x14ac:dyDescent="0.45">
      <c r="A246"/>
    </row>
    <row r="247" spans="1:1" x14ac:dyDescent="0.45">
      <c r="A247"/>
    </row>
    <row r="248" spans="1:1" x14ac:dyDescent="0.45">
      <c r="A248"/>
    </row>
    <row r="249" spans="1:1" x14ac:dyDescent="0.45">
      <c r="A249"/>
    </row>
    <row r="250" spans="1:1" x14ac:dyDescent="0.45">
      <c r="A250"/>
    </row>
    <row r="251" spans="1:1" x14ac:dyDescent="0.45">
      <c r="A251"/>
    </row>
    <row r="252" spans="1:1" x14ac:dyDescent="0.45">
      <c r="A252"/>
    </row>
    <row r="253" spans="1:1" x14ac:dyDescent="0.45">
      <c r="A253"/>
    </row>
    <row r="254" spans="1:1" x14ac:dyDescent="0.45">
      <c r="A254"/>
    </row>
    <row r="255" spans="1:1" x14ac:dyDescent="0.45">
      <c r="A255"/>
    </row>
    <row r="256" spans="1:1" x14ac:dyDescent="0.45">
      <c r="A256"/>
    </row>
    <row r="257" spans="1:1" x14ac:dyDescent="0.45">
      <c r="A257"/>
    </row>
    <row r="258" spans="1:1" x14ac:dyDescent="0.45">
      <c r="A258"/>
    </row>
    <row r="259" spans="1:1" x14ac:dyDescent="0.45">
      <c r="A259"/>
    </row>
    <row r="260" spans="1:1" x14ac:dyDescent="0.45">
      <c r="A260"/>
    </row>
    <row r="261" spans="1:1" x14ac:dyDescent="0.45">
      <c r="A261"/>
    </row>
    <row r="262" spans="1:1" x14ac:dyDescent="0.45">
      <c r="A262"/>
    </row>
    <row r="263" spans="1:1" x14ac:dyDescent="0.45">
      <c r="A263"/>
    </row>
    <row r="264" spans="1:1" x14ac:dyDescent="0.45">
      <c r="A264"/>
    </row>
    <row r="265" spans="1:1" x14ac:dyDescent="0.45">
      <c r="A265"/>
    </row>
    <row r="266" spans="1:1" x14ac:dyDescent="0.45">
      <c r="A266"/>
    </row>
    <row r="267" spans="1:1" x14ac:dyDescent="0.45">
      <c r="A267"/>
    </row>
    <row r="268" spans="1:1" x14ac:dyDescent="0.45">
      <c r="A268"/>
    </row>
    <row r="269" spans="1:1" x14ac:dyDescent="0.45">
      <c r="A269"/>
    </row>
    <row r="270" spans="1:1" x14ac:dyDescent="0.45">
      <c r="A270"/>
    </row>
    <row r="271" spans="1:1" x14ac:dyDescent="0.45">
      <c r="A271"/>
    </row>
    <row r="272" spans="1:1" x14ac:dyDescent="0.45">
      <c r="A272"/>
    </row>
    <row r="273" spans="1:1" x14ac:dyDescent="0.45">
      <c r="A273"/>
    </row>
    <row r="274" spans="1:1" x14ac:dyDescent="0.45">
      <c r="A274"/>
    </row>
    <row r="275" spans="1:1" x14ac:dyDescent="0.45">
      <c r="A275"/>
    </row>
    <row r="276" spans="1:1" x14ac:dyDescent="0.45">
      <c r="A276"/>
    </row>
    <row r="277" spans="1:1" x14ac:dyDescent="0.45">
      <c r="A277"/>
    </row>
    <row r="278" spans="1:1" x14ac:dyDescent="0.45">
      <c r="A278"/>
    </row>
    <row r="279" spans="1:1" x14ac:dyDescent="0.45">
      <c r="A279"/>
    </row>
    <row r="280" spans="1:1" x14ac:dyDescent="0.45">
      <c r="A280"/>
    </row>
    <row r="281" spans="1:1" x14ac:dyDescent="0.45">
      <c r="A281"/>
    </row>
    <row r="282" spans="1:1" x14ac:dyDescent="0.45">
      <c r="A282"/>
    </row>
    <row r="283" spans="1:1" x14ac:dyDescent="0.45">
      <c r="A283"/>
    </row>
    <row r="284" spans="1:1" x14ac:dyDescent="0.45">
      <c r="A284"/>
    </row>
    <row r="285" spans="1:1" x14ac:dyDescent="0.45">
      <c r="A285"/>
    </row>
    <row r="286" spans="1:1" x14ac:dyDescent="0.45">
      <c r="A286"/>
    </row>
    <row r="287" spans="1:1" x14ac:dyDescent="0.45">
      <c r="A287"/>
    </row>
    <row r="288" spans="1:1" x14ac:dyDescent="0.45">
      <c r="A288"/>
    </row>
    <row r="289" spans="1:1" x14ac:dyDescent="0.45">
      <c r="A289"/>
    </row>
    <row r="290" spans="1:1" x14ac:dyDescent="0.45">
      <c r="A290"/>
    </row>
    <row r="291" spans="1:1" x14ac:dyDescent="0.45">
      <c r="A291"/>
    </row>
    <row r="292" spans="1:1" x14ac:dyDescent="0.45">
      <c r="A292"/>
    </row>
    <row r="293" spans="1:1" x14ac:dyDescent="0.45">
      <c r="A293"/>
    </row>
    <row r="294" spans="1:1" x14ac:dyDescent="0.45">
      <c r="A294"/>
    </row>
    <row r="295" spans="1:1" x14ac:dyDescent="0.45">
      <c r="A295"/>
    </row>
    <row r="296" spans="1:1" x14ac:dyDescent="0.45">
      <c r="A296"/>
    </row>
    <row r="297" spans="1:1" x14ac:dyDescent="0.45">
      <c r="A297"/>
    </row>
    <row r="298" spans="1:1" x14ac:dyDescent="0.45">
      <c r="A298"/>
    </row>
    <row r="299" spans="1:1" x14ac:dyDescent="0.45">
      <c r="A299"/>
    </row>
    <row r="300" spans="1:1" x14ac:dyDescent="0.45">
      <c r="A300"/>
    </row>
    <row r="301" spans="1:1" x14ac:dyDescent="0.45">
      <c r="A301"/>
    </row>
    <row r="302" spans="1:1" x14ac:dyDescent="0.45">
      <c r="A302"/>
    </row>
    <row r="303" spans="1:1" x14ac:dyDescent="0.45">
      <c r="A303"/>
    </row>
    <row r="304" spans="1:1" x14ac:dyDescent="0.45">
      <c r="A304"/>
    </row>
    <row r="305" spans="1:1" x14ac:dyDescent="0.45">
      <c r="A305"/>
    </row>
    <row r="306" spans="1:1" x14ac:dyDescent="0.45">
      <c r="A306"/>
    </row>
    <row r="307" spans="1:1" x14ac:dyDescent="0.45">
      <c r="A307"/>
    </row>
    <row r="308" spans="1:1" x14ac:dyDescent="0.45">
      <c r="A308"/>
    </row>
    <row r="309" spans="1:1" x14ac:dyDescent="0.45">
      <c r="A309"/>
    </row>
    <row r="310" spans="1:1" x14ac:dyDescent="0.45">
      <c r="A310"/>
    </row>
    <row r="311" spans="1:1" x14ac:dyDescent="0.45">
      <c r="A311"/>
    </row>
    <row r="312" spans="1:1" x14ac:dyDescent="0.45">
      <c r="A312"/>
    </row>
    <row r="313" spans="1:1" x14ac:dyDescent="0.45">
      <c r="A313"/>
    </row>
    <row r="314" spans="1:1" x14ac:dyDescent="0.45">
      <c r="A314"/>
    </row>
    <row r="315" spans="1:1" x14ac:dyDescent="0.45">
      <c r="A315"/>
    </row>
    <row r="316" spans="1:1" x14ac:dyDescent="0.45">
      <c r="A316"/>
    </row>
    <row r="317" spans="1:1" x14ac:dyDescent="0.45">
      <c r="A317"/>
    </row>
    <row r="318" spans="1:1" x14ac:dyDescent="0.45">
      <c r="A318"/>
    </row>
    <row r="319" spans="1:1" x14ac:dyDescent="0.45">
      <c r="A319"/>
    </row>
    <row r="320" spans="1:1" x14ac:dyDescent="0.45">
      <c r="A320"/>
    </row>
    <row r="321" spans="1:1" x14ac:dyDescent="0.45">
      <c r="A321"/>
    </row>
    <row r="322" spans="1:1" x14ac:dyDescent="0.45">
      <c r="A322"/>
    </row>
    <row r="323" spans="1:1" x14ac:dyDescent="0.45">
      <c r="A323"/>
    </row>
    <row r="324" spans="1:1" x14ac:dyDescent="0.45">
      <c r="A324"/>
    </row>
    <row r="325" spans="1:1" x14ac:dyDescent="0.45">
      <c r="A325"/>
    </row>
    <row r="326" spans="1:1" x14ac:dyDescent="0.45">
      <c r="A326"/>
    </row>
    <row r="327" spans="1:1" x14ac:dyDescent="0.45">
      <c r="A327"/>
    </row>
    <row r="328" spans="1:1" x14ac:dyDescent="0.45">
      <c r="A328"/>
    </row>
    <row r="329" spans="1:1" x14ac:dyDescent="0.45">
      <c r="A329"/>
    </row>
    <row r="330" spans="1:1" x14ac:dyDescent="0.45">
      <c r="A330"/>
    </row>
    <row r="331" spans="1:1" x14ac:dyDescent="0.45">
      <c r="A331"/>
    </row>
    <row r="332" spans="1:1" x14ac:dyDescent="0.45">
      <c r="A332"/>
    </row>
    <row r="333" spans="1:1" x14ac:dyDescent="0.45">
      <c r="A333"/>
    </row>
    <row r="334" spans="1:1" x14ac:dyDescent="0.45">
      <c r="A334"/>
    </row>
    <row r="335" spans="1:1" x14ac:dyDescent="0.45">
      <c r="A335"/>
    </row>
    <row r="336" spans="1:1" x14ac:dyDescent="0.45">
      <c r="A336"/>
    </row>
    <row r="337" spans="1:1" x14ac:dyDescent="0.45">
      <c r="A337"/>
    </row>
    <row r="338" spans="1:1" x14ac:dyDescent="0.45">
      <c r="A338"/>
    </row>
    <row r="339" spans="1:1" x14ac:dyDescent="0.45">
      <c r="A339"/>
    </row>
    <row r="340" spans="1:1" x14ac:dyDescent="0.45">
      <c r="A340"/>
    </row>
    <row r="341" spans="1:1" x14ac:dyDescent="0.45">
      <c r="A341"/>
    </row>
    <row r="342" spans="1:1" x14ac:dyDescent="0.45">
      <c r="A342"/>
    </row>
    <row r="343" spans="1:1" x14ac:dyDescent="0.45">
      <c r="A343"/>
    </row>
    <row r="344" spans="1:1" x14ac:dyDescent="0.45">
      <c r="A344"/>
    </row>
    <row r="345" spans="1:1" x14ac:dyDescent="0.45">
      <c r="A345"/>
    </row>
    <row r="346" spans="1:1" x14ac:dyDescent="0.45">
      <c r="A346"/>
    </row>
    <row r="347" spans="1:1" x14ac:dyDescent="0.45">
      <c r="A347"/>
    </row>
    <row r="348" spans="1:1" x14ac:dyDescent="0.45">
      <c r="A348"/>
    </row>
    <row r="349" spans="1:1" x14ac:dyDescent="0.45">
      <c r="A349"/>
    </row>
    <row r="350" spans="1:1" x14ac:dyDescent="0.45">
      <c r="A350"/>
    </row>
    <row r="351" spans="1:1" x14ac:dyDescent="0.45">
      <c r="A351"/>
    </row>
    <row r="352" spans="1:1" x14ac:dyDescent="0.45">
      <c r="A352"/>
    </row>
    <row r="353" spans="1:1" x14ac:dyDescent="0.45">
      <c r="A353"/>
    </row>
    <row r="354" spans="1:1" x14ac:dyDescent="0.45">
      <c r="A354"/>
    </row>
    <row r="355" spans="1:1" x14ac:dyDescent="0.45">
      <c r="A355"/>
    </row>
    <row r="356" spans="1:1" x14ac:dyDescent="0.45">
      <c r="A356"/>
    </row>
    <row r="357" spans="1:1" x14ac:dyDescent="0.45">
      <c r="A357"/>
    </row>
    <row r="358" spans="1:1" x14ac:dyDescent="0.45">
      <c r="A358"/>
    </row>
    <row r="359" spans="1:1" x14ac:dyDescent="0.45">
      <c r="A359"/>
    </row>
    <row r="360" spans="1:1" x14ac:dyDescent="0.45">
      <c r="A360"/>
    </row>
    <row r="361" spans="1:1" x14ac:dyDescent="0.45">
      <c r="A361"/>
    </row>
    <row r="362" spans="1:1" x14ac:dyDescent="0.45">
      <c r="A362"/>
    </row>
    <row r="363" spans="1:1" x14ac:dyDescent="0.45">
      <c r="A363"/>
    </row>
    <row r="364" spans="1:1" x14ac:dyDescent="0.45">
      <c r="A364"/>
    </row>
    <row r="365" spans="1:1" x14ac:dyDescent="0.45">
      <c r="A365"/>
    </row>
    <row r="366" spans="1:1" x14ac:dyDescent="0.45">
      <c r="A366"/>
    </row>
    <row r="367" spans="1:1" x14ac:dyDescent="0.45">
      <c r="A367"/>
    </row>
    <row r="368" spans="1:1" x14ac:dyDescent="0.45">
      <c r="A368"/>
    </row>
    <row r="369" spans="1:1" x14ac:dyDescent="0.45">
      <c r="A369"/>
    </row>
    <row r="370" spans="1:1" x14ac:dyDescent="0.45">
      <c r="A370"/>
    </row>
    <row r="371" spans="1:1" x14ac:dyDescent="0.45">
      <c r="A371"/>
    </row>
    <row r="372" spans="1:1" x14ac:dyDescent="0.45">
      <c r="A372"/>
    </row>
    <row r="373" spans="1:1" x14ac:dyDescent="0.45">
      <c r="A373"/>
    </row>
    <row r="374" spans="1:1" x14ac:dyDescent="0.45">
      <c r="A374"/>
    </row>
    <row r="375" spans="1:1" x14ac:dyDescent="0.45">
      <c r="A375"/>
    </row>
    <row r="376" spans="1:1" x14ac:dyDescent="0.45">
      <c r="A376"/>
    </row>
    <row r="377" spans="1:1" x14ac:dyDescent="0.45">
      <c r="A377"/>
    </row>
    <row r="378" spans="1:1" x14ac:dyDescent="0.45">
      <c r="A378"/>
    </row>
    <row r="379" spans="1:1" x14ac:dyDescent="0.45">
      <c r="A379"/>
    </row>
    <row r="380" spans="1:1" x14ac:dyDescent="0.45">
      <c r="A380"/>
    </row>
    <row r="381" spans="1:1" x14ac:dyDescent="0.45">
      <c r="A381"/>
    </row>
    <row r="382" spans="1:1" x14ac:dyDescent="0.45">
      <c r="A382"/>
    </row>
    <row r="383" spans="1:1" x14ac:dyDescent="0.45">
      <c r="A383"/>
    </row>
    <row r="384" spans="1:1" x14ac:dyDescent="0.45">
      <c r="A384"/>
    </row>
    <row r="385" spans="1:1" x14ac:dyDescent="0.45">
      <c r="A385"/>
    </row>
    <row r="386" spans="1:1" x14ac:dyDescent="0.45">
      <c r="A386"/>
    </row>
    <row r="387" spans="1:1" x14ac:dyDescent="0.45">
      <c r="A387"/>
    </row>
    <row r="388" spans="1:1" x14ac:dyDescent="0.45">
      <c r="A388"/>
    </row>
    <row r="389" spans="1:1" x14ac:dyDescent="0.45">
      <c r="A389"/>
    </row>
    <row r="390" spans="1:1" x14ac:dyDescent="0.45">
      <c r="A390"/>
    </row>
    <row r="391" spans="1:1" x14ac:dyDescent="0.45">
      <c r="A391"/>
    </row>
    <row r="392" spans="1:1" x14ac:dyDescent="0.45">
      <c r="A392"/>
    </row>
    <row r="393" spans="1:1" x14ac:dyDescent="0.45">
      <c r="A393"/>
    </row>
    <row r="394" spans="1:1" x14ac:dyDescent="0.45">
      <c r="A394"/>
    </row>
    <row r="395" spans="1:1" x14ac:dyDescent="0.45">
      <c r="A395"/>
    </row>
    <row r="396" spans="1:1" x14ac:dyDescent="0.45">
      <c r="A396"/>
    </row>
    <row r="397" spans="1:1" x14ac:dyDescent="0.45">
      <c r="A397"/>
    </row>
    <row r="398" spans="1:1" x14ac:dyDescent="0.45">
      <c r="A398"/>
    </row>
    <row r="399" spans="1:1" x14ac:dyDescent="0.45">
      <c r="A399"/>
    </row>
    <row r="400" spans="1:1" x14ac:dyDescent="0.45">
      <c r="A400"/>
    </row>
    <row r="401" spans="1:1" x14ac:dyDescent="0.45">
      <c r="A401"/>
    </row>
    <row r="402" spans="1:1" x14ac:dyDescent="0.45">
      <c r="A402"/>
    </row>
    <row r="403" spans="1:1" x14ac:dyDescent="0.45">
      <c r="A403"/>
    </row>
    <row r="404" spans="1:1" x14ac:dyDescent="0.45">
      <c r="A404"/>
    </row>
    <row r="405" spans="1:1" x14ac:dyDescent="0.45">
      <c r="A405"/>
    </row>
    <row r="406" spans="1:1" x14ac:dyDescent="0.45">
      <c r="A406"/>
    </row>
    <row r="407" spans="1:1" x14ac:dyDescent="0.45">
      <c r="A407"/>
    </row>
    <row r="408" spans="1:1" x14ac:dyDescent="0.45">
      <c r="A408"/>
    </row>
    <row r="409" spans="1:1" x14ac:dyDescent="0.45">
      <c r="A409"/>
    </row>
    <row r="410" spans="1:1" x14ac:dyDescent="0.45">
      <c r="A410"/>
    </row>
    <row r="411" spans="1:1" x14ac:dyDescent="0.45">
      <c r="A411"/>
    </row>
    <row r="412" spans="1:1" x14ac:dyDescent="0.45">
      <c r="A412"/>
    </row>
    <row r="413" spans="1:1" x14ac:dyDescent="0.45">
      <c r="A413"/>
    </row>
    <row r="414" spans="1:1" x14ac:dyDescent="0.45">
      <c r="A414"/>
    </row>
    <row r="415" spans="1:1" x14ac:dyDescent="0.45">
      <c r="A415"/>
    </row>
    <row r="416" spans="1:1" x14ac:dyDescent="0.45">
      <c r="A416"/>
    </row>
    <row r="417" spans="1:1" x14ac:dyDescent="0.45">
      <c r="A417"/>
    </row>
    <row r="418" spans="1:1" x14ac:dyDescent="0.45">
      <c r="A418"/>
    </row>
    <row r="419" spans="1:1" x14ac:dyDescent="0.45">
      <c r="A419"/>
    </row>
    <row r="420" spans="1:1" x14ac:dyDescent="0.45">
      <c r="A420"/>
    </row>
    <row r="421" spans="1:1" x14ac:dyDescent="0.45">
      <c r="A421"/>
    </row>
    <row r="422" spans="1:1" x14ac:dyDescent="0.45">
      <c r="A422"/>
    </row>
    <row r="423" spans="1:1" x14ac:dyDescent="0.45">
      <c r="A423"/>
    </row>
    <row r="424" spans="1:1" x14ac:dyDescent="0.45">
      <c r="A424"/>
    </row>
    <row r="425" spans="1:1" x14ac:dyDescent="0.45">
      <c r="A425"/>
    </row>
    <row r="426" spans="1:1" x14ac:dyDescent="0.45">
      <c r="A426"/>
    </row>
    <row r="427" spans="1:1" x14ac:dyDescent="0.45">
      <c r="A427"/>
    </row>
    <row r="428" spans="1:1" x14ac:dyDescent="0.45">
      <c r="A428"/>
    </row>
    <row r="429" spans="1:1" x14ac:dyDescent="0.45">
      <c r="A429"/>
    </row>
    <row r="430" spans="1:1" x14ac:dyDescent="0.45">
      <c r="A430"/>
    </row>
    <row r="431" spans="1:1" x14ac:dyDescent="0.45">
      <c r="A431"/>
    </row>
    <row r="432" spans="1:1" x14ac:dyDescent="0.45">
      <c r="A432"/>
    </row>
    <row r="433" spans="1:1" x14ac:dyDescent="0.45">
      <c r="A433"/>
    </row>
    <row r="434" spans="1:1" x14ac:dyDescent="0.45">
      <c r="A434"/>
    </row>
    <row r="435" spans="1:1" x14ac:dyDescent="0.45">
      <c r="A435"/>
    </row>
    <row r="436" spans="1:1" x14ac:dyDescent="0.45">
      <c r="A436"/>
    </row>
    <row r="437" spans="1:1" x14ac:dyDescent="0.45">
      <c r="A437"/>
    </row>
    <row r="438" spans="1:1" x14ac:dyDescent="0.45">
      <c r="A438"/>
    </row>
    <row r="439" spans="1:1" x14ac:dyDescent="0.45">
      <c r="A439"/>
    </row>
    <row r="440" spans="1:1" x14ac:dyDescent="0.45">
      <c r="A440"/>
    </row>
    <row r="441" spans="1:1" x14ac:dyDescent="0.45">
      <c r="A441"/>
    </row>
    <row r="442" spans="1:1" x14ac:dyDescent="0.45">
      <c r="A442"/>
    </row>
    <row r="443" spans="1:1" x14ac:dyDescent="0.45">
      <c r="A443"/>
    </row>
    <row r="444" spans="1:1" x14ac:dyDescent="0.45">
      <c r="A444"/>
    </row>
    <row r="445" spans="1:1" x14ac:dyDescent="0.45">
      <c r="A445"/>
    </row>
    <row r="446" spans="1:1" x14ac:dyDescent="0.45">
      <c r="A446"/>
    </row>
    <row r="447" spans="1:1" x14ac:dyDescent="0.45">
      <c r="A447"/>
    </row>
    <row r="448" spans="1:1" x14ac:dyDescent="0.45">
      <c r="A448"/>
    </row>
    <row r="449" spans="1:1" x14ac:dyDescent="0.45">
      <c r="A449"/>
    </row>
    <row r="450" spans="1:1" x14ac:dyDescent="0.45">
      <c r="A450"/>
    </row>
    <row r="451" spans="1:1" x14ac:dyDescent="0.45">
      <c r="A451"/>
    </row>
    <row r="452" spans="1:1" x14ac:dyDescent="0.45">
      <c r="A452"/>
    </row>
    <row r="453" spans="1:1" x14ac:dyDescent="0.45">
      <c r="A453"/>
    </row>
    <row r="454" spans="1:1" x14ac:dyDescent="0.45">
      <c r="A454"/>
    </row>
    <row r="455" spans="1:1" x14ac:dyDescent="0.45">
      <c r="A455"/>
    </row>
    <row r="456" spans="1:1" x14ac:dyDescent="0.45">
      <c r="A456"/>
    </row>
    <row r="457" spans="1:1" x14ac:dyDescent="0.45">
      <c r="A457"/>
    </row>
    <row r="458" spans="1:1" x14ac:dyDescent="0.45">
      <c r="A458"/>
    </row>
    <row r="459" spans="1:1" x14ac:dyDescent="0.45">
      <c r="A459"/>
    </row>
    <row r="460" spans="1:1" x14ac:dyDescent="0.45">
      <c r="A460"/>
    </row>
    <row r="461" spans="1:1" x14ac:dyDescent="0.45">
      <c r="A461"/>
    </row>
    <row r="462" spans="1:1" x14ac:dyDescent="0.45">
      <c r="A462"/>
    </row>
    <row r="463" spans="1:1" x14ac:dyDescent="0.45">
      <c r="A463"/>
    </row>
    <row r="464" spans="1:1" x14ac:dyDescent="0.45">
      <c r="A464"/>
    </row>
    <row r="465" spans="1:1" x14ac:dyDescent="0.45">
      <c r="A465"/>
    </row>
    <row r="466" spans="1:1" x14ac:dyDescent="0.45">
      <c r="A466"/>
    </row>
    <row r="467" spans="1:1" x14ac:dyDescent="0.45">
      <c r="A467"/>
    </row>
    <row r="468" spans="1:1" x14ac:dyDescent="0.45">
      <c r="A468"/>
    </row>
    <row r="469" spans="1:1" x14ac:dyDescent="0.45">
      <c r="A469"/>
    </row>
    <row r="470" spans="1:1" x14ac:dyDescent="0.45">
      <c r="A470"/>
    </row>
    <row r="471" spans="1:1" x14ac:dyDescent="0.45">
      <c r="A471"/>
    </row>
    <row r="472" spans="1:1" x14ac:dyDescent="0.45">
      <c r="A472"/>
    </row>
    <row r="473" spans="1:1" x14ac:dyDescent="0.45">
      <c r="A473"/>
    </row>
    <row r="474" spans="1:1" x14ac:dyDescent="0.45">
      <c r="A474"/>
    </row>
    <row r="475" spans="1:1" x14ac:dyDescent="0.45">
      <c r="A475"/>
    </row>
    <row r="476" spans="1:1" x14ac:dyDescent="0.45">
      <c r="A476"/>
    </row>
    <row r="477" spans="1:1" x14ac:dyDescent="0.45">
      <c r="A477"/>
    </row>
    <row r="478" spans="1:1" x14ac:dyDescent="0.45">
      <c r="A478"/>
    </row>
    <row r="479" spans="1:1" x14ac:dyDescent="0.45">
      <c r="A479"/>
    </row>
    <row r="480" spans="1:1" x14ac:dyDescent="0.45">
      <c r="A480"/>
    </row>
    <row r="481" spans="1:1" x14ac:dyDescent="0.45">
      <c r="A481"/>
    </row>
    <row r="482" spans="1:1" x14ac:dyDescent="0.45">
      <c r="A482"/>
    </row>
    <row r="483" spans="1:1" x14ac:dyDescent="0.45">
      <c r="A483"/>
    </row>
    <row r="484" spans="1:1" x14ac:dyDescent="0.45">
      <c r="A484"/>
    </row>
    <row r="485" spans="1:1" x14ac:dyDescent="0.45">
      <c r="A485"/>
    </row>
    <row r="486" spans="1:1" x14ac:dyDescent="0.45">
      <c r="A486"/>
    </row>
    <row r="487" spans="1:1" x14ac:dyDescent="0.45">
      <c r="A487"/>
    </row>
    <row r="488" spans="1:1" x14ac:dyDescent="0.45">
      <c r="A488"/>
    </row>
    <row r="489" spans="1:1" x14ac:dyDescent="0.45">
      <c r="A489"/>
    </row>
    <row r="490" spans="1:1" x14ac:dyDescent="0.45">
      <c r="A490"/>
    </row>
    <row r="491" spans="1:1" x14ac:dyDescent="0.45">
      <c r="A491"/>
    </row>
    <row r="492" spans="1:1" x14ac:dyDescent="0.45">
      <c r="A492"/>
    </row>
    <row r="493" spans="1:1" x14ac:dyDescent="0.45">
      <c r="A493"/>
    </row>
    <row r="494" spans="1:1" x14ac:dyDescent="0.45">
      <c r="A494"/>
    </row>
    <row r="495" spans="1:1" x14ac:dyDescent="0.45">
      <c r="A495"/>
    </row>
    <row r="496" spans="1:1" x14ac:dyDescent="0.45">
      <c r="A496"/>
    </row>
    <row r="497" spans="1:1" x14ac:dyDescent="0.45">
      <c r="A497"/>
    </row>
    <row r="498" spans="1:1" x14ac:dyDescent="0.45">
      <c r="A498"/>
    </row>
    <row r="499" spans="1:1" x14ac:dyDescent="0.45">
      <c r="A499"/>
    </row>
    <row r="500" spans="1:1" x14ac:dyDescent="0.45">
      <c r="A500"/>
    </row>
    <row r="501" spans="1:1" x14ac:dyDescent="0.45">
      <c r="A501"/>
    </row>
    <row r="502" spans="1:1" x14ac:dyDescent="0.45">
      <c r="A502"/>
    </row>
    <row r="503" spans="1:1" x14ac:dyDescent="0.45">
      <c r="A503"/>
    </row>
    <row r="504" spans="1:1" x14ac:dyDescent="0.45">
      <c r="A504"/>
    </row>
    <row r="505" spans="1:1" x14ac:dyDescent="0.45">
      <c r="A505"/>
    </row>
    <row r="506" spans="1:1" x14ac:dyDescent="0.45">
      <c r="A506"/>
    </row>
    <row r="507" spans="1:1" x14ac:dyDescent="0.45">
      <c r="A507"/>
    </row>
    <row r="508" spans="1:1" x14ac:dyDescent="0.45">
      <c r="A508"/>
    </row>
    <row r="509" spans="1:1" x14ac:dyDescent="0.45">
      <c r="A509"/>
    </row>
    <row r="510" spans="1:1" x14ac:dyDescent="0.45">
      <c r="A510"/>
    </row>
    <row r="511" spans="1:1" x14ac:dyDescent="0.45">
      <c r="A511"/>
    </row>
    <row r="512" spans="1:1" x14ac:dyDescent="0.45">
      <c r="A512"/>
    </row>
    <row r="513" spans="1:1" x14ac:dyDescent="0.45">
      <c r="A513"/>
    </row>
    <row r="514" spans="1:1" x14ac:dyDescent="0.45">
      <c r="A514"/>
    </row>
    <row r="515" spans="1:1" x14ac:dyDescent="0.45">
      <c r="A515"/>
    </row>
    <row r="516" spans="1:1" x14ac:dyDescent="0.45">
      <c r="A516"/>
    </row>
    <row r="517" spans="1:1" x14ac:dyDescent="0.45">
      <c r="A517"/>
    </row>
    <row r="518" spans="1:1" x14ac:dyDescent="0.45">
      <c r="A518"/>
    </row>
    <row r="519" spans="1:1" x14ac:dyDescent="0.45">
      <c r="A519"/>
    </row>
    <row r="520" spans="1:1" x14ac:dyDescent="0.45">
      <c r="A520"/>
    </row>
    <row r="521" spans="1:1" x14ac:dyDescent="0.45">
      <c r="A521"/>
    </row>
    <row r="522" spans="1:1" x14ac:dyDescent="0.45">
      <c r="A522"/>
    </row>
    <row r="523" spans="1:1" x14ac:dyDescent="0.45">
      <c r="A523"/>
    </row>
    <row r="524" spans="1:1" x14ac:dyDescent="0.45">
      <c r="A524"/>
    </row>
    <row r="525" spans="1:1" x14ac:dyDescent="0.45">
      <c r="A525"/>
    </row>
    <row r="526" spans="1:1" x14ac:dyDescent="0.45">
      <c r="A526"/>
    </row>
    <row r="527" spans="1:1" x14ac:dyDescent="0.45">
      <c r="A527"/>
    </row>
    <row r="528" spans="1:1" x14ac:dyDescent="0.45">
      <c r="A528"/>
    </row>
    <row r="529" spans="1:1" x14ac:dyDescent="0.45">
      <c r="A529"/>
    </row>
    <row r="530" spans="1:1" x14ac:dyDescent="0.45">
      <c r="A530"/>
    </row>
    <row r="531" spans="1:1" x14ac:dyDescent="0.45">
      <c r="A531"/>
    </row>
    <row r="532" spans="1:1" x14ac:dyDescent="0.45">
      <c r="A532"/>
    </row>
    <row r="533" spans="1:1" x14ac:dyDescent="0.45">
      <c r="A533"/>
    </row>
    <row r="534" spans="1:1" x14ac:dyDescent="0.45">
      <c r="A534"/>
    </row>
    <row r="535" spans="1:1" x14ac:dyDescent="0.45">
      <c r="A535"/>
    </row>
    <row r="536" spans="1:1" x14ac:dyDescent="0.45">
      <c r="A536"/>
    </row>
    <row r="537" spans="1:1" x14ac:dyDescent="0.45">
      <c r="A537"/>
    </row>
    <row r="538" spans="1:1" x14ac:dyDescent="0.45">
      <c r="A538"/>
    </row>
    <row r="539" spans="1:1" x14ac:dyDescent="0.45">
      <c r="A539"/>
    </row>
    <row r="540" spans="1:1" x14ac:dyDescent="0.45">
      <c r="A540"/>
    </row>
    <row r="541" spans="1:1" x14ac:dyDescent="0.45">
      <c r="A541"/>
    </row>
    <row r="542" spans="1:1" x14ac:dyDescent="0.45">
      <c r="A542"/>
    </row>
    <row r="543" spans="1:1" x14ac:dyDescent="0.45">
      <c r="A543"/>
    </row>
    <row r="544" spans="1:1" x14ac:dyDescent="0.45">
      <c r="A544"/>
    </row>
    <row r="545" spans="1:1" x14ac:dyDescent="0.45">
      <c r="A545"/>
    </row>
    <row r="546" spans="1:1" x14ac:dyDescent="0.45">
      <c r="A546"/>
    </row>
    <row r="547" spans="1:1" x14ac:dyDescent="0.45">
      <c r="A547"/>
    </row>
    <row r="548" spans="1:1" x14ac:dyDescent="0.45">
      <c r="A548"/>
    </row>
    <row r="549" spans="1:1" x14ac:dyDescent="0.45">
      <c r="A549"/>
    </row>
    <row r="550" spans="1:1" x14ac:dyDescent="0.45">
      <c r="A550"/>
    </row>
    <row r="551" spans="1:1" x14ac:dyDescent="0.45">
      <c r="A551"/>
    </row>
    <row r="552" spans="1:1" x14ac:dyDescent="0.45">
      <c r="A552"/>
    </row>
    <row r="553" spans="1:1" x14ac:dyDescent="0.45">
      <c r="A553"/>
    </row>
    <row r="554" spans="1:1" x14ac:dyDescent="0.45">
      <c r="A554"/>
    </row>
    <row r="555" spans="1:1" x14ac:dyDescent="0.45">
      <c r="A555"/>
    </row>
    <row r="556" spans="1:1" x14ac:dyDescent="0.45">
      <c r="A556"/>
    </row>
    <row r="557" spans="1:1" x14ac:dyDescent="0.45">
      <c r="A557"/>
    </row>
    <row r="558" spans="1:1" x14ac:dyDescent="0.45">
      <c r="A558"/>
    </row>
    <row r="559" spans="1:1" x14ac:dyDescent="0.45">
      <c r="A559"/>
    </row>
    <row r="560" spans="1:1" x14ac:dyDescent="0.45">
      <c r="A560"/>
    </row>
    <row r="561" spans="1:1" x14ac:dyDescent="0.45">
      <c r="A561"/>
    </row>
    <row r="562" spans="1:1" x14ac:dyDescent="0.45">
      <c r="A562"/>
    </row>
    <row r="563" spans="1:1" x14ac:dyDescent="0.45">
      <c r="A563"/>
    </row>
    <row r="564" spans="1:1" x14ac:dyDescent="0.45">
      <c r="A564"/>
    </row>
    <row r="565" spans="1:1" x14ac:dyDescent="0.45">
      <c r="A565"/>
    </row>
    <row r="566" spans="1:1" x14ac:dyDescent="0.45">
      <c r="A566"/>
    </row>
    <row r="567" spans="1:1" x14ac:dyDescent="0.45">
      <c r="A567"/>
    </row>
    <row r="568" spans="1:1" x14ac:dyDescent="0.45">
      <c r="A568"/>
    </row>
    <row r="569" spans="1:1" x14ac:dyDescent="0.45">
      <c r="A569"/>
    </row>
    <row r="570" spans="1:1" x14ac:dyDescent="0.45">
      <c r="A570"/>
    </row>
    <row r="571" spans="1:1" x14ac:dyDescent="0.45">
      <c r="A571"/>
    </row>
    <row r="572" spans="1:1" x14ac:dyDescent="0.45">
      <c r="A572"/>
    </row>
    <row r="573" spans="1:1" x14ac:dyDescent="0.45">
      <c r="A573"/>
    </row>
    <row r="574" spans="1:1" x14ac:dyDescent="0.45">
      <c r="A574"/>
    </row>
    <row r="575" spans="1:1" x14ac:dyDescent="0.45">
      <c r="A575"/>
    </row>
    <row r="576" spans="1:1" x14ac:dyDescent="0.45">
      <c r="A576"/>
    </row>
    <row r="577" spans="1:1" x14ac:dyDescent="0.45">
      <c r="A577"/>
    </row>
    <row r="578" spans="1:1" x14ac:dyDescent="0.45">
      <c r="A578"/>
    </row>
    <row r="579" spans="1:1" x14ac:dyDescent="0.45">
      <c r="A579"/>
    </row>
    <row r="580" spans="1:1" x14ac:dyDescent="0.45">
      <c r="A580"/>
    </row>
    <row r="581" spans="1:1" x14ac:dyDescent="0.45">
      <c r="A581"/>
    </row>
    <row r="582" spans="1:1" x14ac:dyDescent="0.45">
      <c r="A582"/>
    </row>
    <row r="583" spans="1:1" x14ac:dyDescent="0.45">
      <c r="A583"/>
    </row>
    <row r="584" spans="1:1" x14ac:dyDescent="0.45">
      <c r="A584"/>
    </row>
    <row r="585" spans="1:1" x14ac:dyDescent="0.45">
      <c r="A585"/>
    </row>
    <row r="586" spans="1:1" x14ac:dyDescent="0.45">
      <c r="A586"/>
    </row>
    <row r="587" spans="1:1" x14ac:dyDescent="0.45">
      <c r="A587"/>
    </row>
    <row r="588" spans="1:1" x14ac:dyDescent="0.45">
      <c r="A588"/>
    </row>
    <row r="589" spans="1:1" x14ac:dyDescent="0.45">
      <c r="A589"/>
    </row>
    <row r="590" spans="1:1" x14ac:dyDescent="0.45">
      <c r="A590"/>
    </row>
    <row r="591" spans="1:1" x14ac:dyDescent="0.45">
      <c r="A591"/>
    </row>
    <row r="592" spans="1:1" x14ac:dyDescent="0.45">
      <c r="A592"/>
    </row>
    <row r="593" spans="1:1" x14ac:dyDescent="0.45">
      <c r="A593"/>
    </row>
    <row r="594" spans="1:1" x14ac:dyDescent="0.45">
      <c r="A594"/>
    </row>
    <row r="595" spans="1:1" x14ac:dyDescent="0.45">
      <c r="A595"/>
    </row>
    <row r="596" spans="1:1" x14ac:dyDescent="0.45">
      <c r="A596"/>
    </row>
    <row r="597" spans="1:1" x14ac:dyDescent="0.45">
      <c r="A597"/>
    </row>
    <row r="598" spans="1:1" x14ac:dyDescent="0.45">
      <c r="A598"/>
    </row>
    <row r="599" spans="1:1" x14ac:dyDescent="0.45">
      <c r="A599"/>
    </row>
    <row r="600" spans="1:1" x14ac:dyDescent="0.45">
      <c r="A600"/>
    </row>
    <row r="601" spans="1:1" x14ac:dyDescent="0.45">
      <c r="A601"/>
    </row>
    <row r="602" spans="1:1" x14ac:dyDescent="0.45">
      <c r="A602"/>
    </row>
    <row r="603" spans="1:1" x14ac:dyDescent="0.45">
      <c r="A603"/>
    </row>
    <row r="604" spans="1:1" x14ac:dyDescent="0.45">
      <c r="A604"/>
    </row>
    <row r="605" spans="1:1" x14ac:dyDescent="0.45">
      <c r="A605"/>
    </row>
    <row r="606" spans="1:1" x14ac:dyDescent="0.45">
      <c r="A606"/>
    </row>
    <row r="607" spans="1:1" x14ac:dyDescent="0.45">
      <c r="A607"/>
    </row>
    <row r="608" spans="1:1" x14ac:dyDescent="0.45">
      <c r="A608"/>
    </row>
    <row r="609" spans="1:1" x14ac:dyDescent="0.45">
      <c r="A609"/>
    </row>
    <row r="610" spans="1:1" x14ac:dyDescent="0.45">
      <c r="A610"/>
    </row>
    <row r="611" spans="1:1" x14ac:dyDescent="0.45">
      <c r="A611"/>
    </row>
    <row r="612" spans="1:1" x14ac:dyDescent="0.45">
      <c r="A612"/>
    </row>
    <row r="613" spans="1:1" x14ac:dyDescent="0.45">
      <c r="A613"/>
    </row>
    <row r="614" spans="1:1" x14ac:dyDescent="0.45">
      <c r="A614"/>
    </row>
    <row r="615" spans="1:1" x14ac:dyDescent="0.45">
      <c r="A615"/>
    </row>
    <row r="616" spans="1:1" x14ac:dyDescent="0.45">
      <c r="A616"/>
    </row>
    <row r="617" spans="1:1" x14ac:dyDescent="0.45">
      <c r="A617"/>
    </row>
    <row r="618" spans="1:1" x14ac:dyDescent="0.45">
      <c r="A618"/>
    </row>
    <row r="619" spans="1:1" x14ac:dyDescent="0.45">
      <c r="A619"/>
    </row>
    <row r="620" spans="1:1" x14ac:dyDescent="0.45">
      <c r="A620"/>
    </row>
    <row r="621" spans="1:1" x14ac:dyDescent="0.45">
      <c r="A621"/>
    </row>
    <row r="622" spans="1:1" x14ac:dyDescent="0.45">
      <c r="A622"/>
    </row>
    <row r="623" spans="1:1" x14ac:dyDescent="0.45">
      <c r="A623"/>
    </row>
    <row r="624" spans="1:1" x14ac:dyDescent="0.45">
      <c r="A624"/>
    </row>
    <row r="625" spans="1:1" x14ac:dyDescent="0.45">
      <c r="A625"/>
    </row>
    <row r="626" spans="1:1" x14ac:dyDescent="0.45">
      <c r="A626"/>
    </row>
    <row r="627" spans="1:1" x14ac:dyDescent="0.45">
      <c r="A627"/>
    </row>
    <row r="628" spans="1:1" x14ac:dyDescent="0.45">
      <c r="A628"/>
    </row>
    <row r="629" spans="1:1" x14ac:dyDescent="0.45">
      <c r="A629"/>
    </row>
    <row r="630" spans="1:1" x14ac:dyDescent="0.45">
      <c r="A630"/>
    </row>
    <row r="631" spans="1:1" x14ac:dyDescent="0.45">
      <c r="A631"/>
    </row>
    <row r="632" spans="1:1" x14ac:dyDescent="0.45">
      <c r="A632"/>
    </row>
    <row r="633" spans="1:1" x14ac:dyDescent="0.45">
      <c r="A633"/>
    </row>
    <row r="634" spans="1:1" x14ac:dyDescent="0.45">
      <c r="A634"/>
    </row>
    <row r="635" spans="1:1" x14ac:dyDescent="0.45">
      <c r="A635"/>
    </row>
    <row r="636" spans="1:1" x14ac:dyDescent="0.45">
      <c r="A636"/>
    </row>
    <row r="637" spans="1:1" x14ac:dyDescent="0.45">
      <c r="A637"/>
    </row>
    <row r="638" spans="1:1" x14ac:dyDescent="0.45">
      <c r="A638"/>
    </row>
    <row r="639" spans="1:1" x14ac:dyDescent="0.45">
      <c r="A639"/>
    </row>
    <row r="640" spans="1:1" x14ac:dyDescent="0.45">
      <c r="A640"/>
    </row>
    <row r="641" spans="1:1" x14ac:dyDescent="0.45">
      <c r="A641"/>
    </row>
    <row r="642" spans="1:1" x14ac:dyDescent="0.45">
      <c r="A642"/>
    </row>
    <row r="643" spans="1:1" x14ac:dyDescent="0.45">
      <c r="A643"/>
    </row>
    <row r="644" spans="1:1" x14ac:dyDescent="0.45">
      <c r="A644"/>
    </row>
    <row r="645" spans="1:1" x14ac:dyDescent="0.45">
      <c r="A645"/>
    </row>
    <row r="646" spans="1:1" x14ac:dyDescent="0.45">
      <c r="A646"/>
    </row>
    <row r="647" spans="1:1" x14ac:dyDescent="0.45">
      <c r="A647"/>
    </row>
    <row r="648" spans="1:1" x14ac:dyDescent="0.45">
      <c r="A648"/>
    </row>
    <row r="649" spans="1:1" x14ac:dyDescent="0.45">
      <c r="A649"/>
    </row>
    <row r="650" spans="1:1" x14ac:dyDescent="0.45">
      <c r="A650"/>
    </row>
    <row r="651" spans="1:1" x14ac:dyDescent="0.45">
      <c r="A651"/>
    </row>
    <row r="652" spans="1:1" x14ac:dyDescent="0.45">
      <c r="A652"/>
    </row>
    <row r="653" spans="1:1" x14ac:dyDescent="0.45">
      <c r="A653"/>
    </row>
    <row r="654" spans="1:1" x14ac:dyDescent="0.45">
      <c r="A654"/>
    </row>
    <row r="655" spans="1:1" x14ac:dyDescent="0.45">
      <c r="A655"/>
    </row>
    <row r="656" spans="1:1" x14ac:dyDescent="0.45">
      <c r="A656"/>
    </row>
    <row r="657" spans="1:1" x14ac:dyDescent="0.45">
      <c r="A657"/>
    </row>
    <row r="658" spans="1:1" x14ac:dyDescent="0.45">
      <c r="A658"/>
    </row>
    <row r="659" spans="1:1" x14ac:dyDescent="0.45">
      <c r="A659"/>
    </row>
    <row r="660" spans="1:1" x14ac:dyDescent="0.45">
      <c r="A660"/>
    </row>
    <row r="661" spans="1:1" x14ac:dyDescent="0.45">
      <c r="A661"/>
    </row>
    <row r="662" spans="1:1" x14ac:dyDescent="0.45">
      <c r="A662"/>
    </row>
    <row r="663" spans="1:1" x14ac:dyDescent="0.45">
      <c r="A663"/>
    </row>
    <row r="664" spans="1:1" x14ac:dyDescent="0.45">
      <c r="A664"/>
    </row>
    <row r="665" spans="1:1" x14ac:dyDescent="0.45">
      <c r="A665"/>
    </row>
    <row r="666" spans="1:1" x14ac:dyDescent="0.45">
      <c r="A666"/>
    </row>
    <row r="667" spans="1:1" x14ac:dyDescent="0.45">
      <c r="A667"/>
    </row>
    <row r="668" spans="1:1" x14ac:dyDescent="0.45">
      <c r="A668"/>
    </row>
    <row r="669" spans="1:1" x14ac:dyDescent="0.45">
      <c r="A669"/>
    </row>
    <row r="670" spans="1:1" x14ac:dyDescent="0.45">
      <c r="A670"/>
    </row>
    <row r="671" spans="1:1" x14ac:dyDescent="0.45">
      <c r="A671"/>
    </row>
    <row r="672" spans="1:1" x14ac:dyDescent="0.45">
      <c r="A672"/>
    </row>
    <row r="673" spans="1:1" x14ac:dyDescent="0.45">
      <c r="A673"/>
    </row>
    <row r="674" spans="1:1" x14ac:dyDescent="0.45">
      <c r="A674"/>
    </row>
    <row r="675" spans="1:1" x14ac:dyDescent="0.45">
      <c r="A675"/>
    </row>
    <row r="676" spans="1:1" x14ac:dyDescent="0.45">
      <c r="A676"/>
    </row>
    <row r="677" spans="1:1" x14ac:dyDescent="0.45">
      <c r="A677"/>
    </row>
    <row r="678" spans="1:1" x14ac:dyDescent="0.45">
      <c r="A678"/>
    </row>
    <row r="679" spans="1:1" x14ac:dyDescent="0.45">
      <c r="A679"/>
    </row>
    <row r="680" spans="1:1" x14ac:dyDescent="0.45">
      <c r="A680"/>
    </row>
    <row r="681" spans="1:1" x14ac:dyDescent="0.45">
      <c r="A681"/>
    </row>
    <row r="682" spans="1:1" x14ac:dyDescent="0.45">
      <c r="A682"/>
    </row>
    <row r="683" spans="1:1" x14ac:dyDescent="0.45">
      <c r="A683"/>
    </row>
    <row r="684" spans="1:1" x14ac:dyDescent="0.45">
      <c r="A684"/>
    </row>
    <row r="685" spans="1:1" x14ac:dyDescent="0.45">
      <c r="A685"/>
    </row>
    <row r="686" spans="1:1" x14ac:dyDescent="0.45">
      <c r="A686"/>
    </row>
    <row r="687" spans="1:1" x14ac:dyDescent="0.45">
      <c r="A687"/>
    </row>
    <row r="688" spans="1:1" x14ac:dyDescent="0.45">
      <c r="A688"/>
    </row>
    <row r="689" spans="1:1" x14ac:dyDescent="0.45">
      <c r="A689"/>
    </row>
    <row r="690" spans="1:1" x14ac:dyDescent="0.45">
      <c r="A690"/>
    </row>
    <row r="691" spans="1:1" x14ac:dyDescent="0.45">
      <c r="A691"/>
    </row>
    <row r="692" spans="1:1" x14ac:dyDescent="0.45">
      <c r="A692"/>
    </row>
    <row r="693" spans="1:1" x14ac:dyDescent="0.45">
      <c r="A693"/>
    </row>
    <row r="694" spans="1:1" x14ac:dyDescent="0.45">
      <c r="A694"/>
    </row>
    <row r="695" spans="1:1" x14ac:dyDescent="0.45">
      <c r="A695"/>
    </row>
    <row r="696" spans="1:1" x14ac:dyDescent="0.45">
      <c r="A696"/>
    </row>
    <row r="697" spans="1:1" x14ac:dyDescent="0.45">
      <c r="A697"/>
    </row>
    <row r="698" spans="1:1" x14ac:dyDescent="0.45">
      <c r="A698"/>
    </row>
    <row r="699" spans="1:1" x14ac:dyDescent="0.45">
      <c r="A699"/>
    </row>
    <row r="700" spans="1:1" x14ac:dyDescent="0.45">
      <c r="A700"/>
    </row>
    <row r="701" spans="1:1" x14ac:dyDescent="0.45">
      <c r="A701"/>
    </row>
    <row r="702" spans="1:1" x14ac:dyDescent="0.45">
      <c r="A702"/>
    </row>
    <row r="703" spans="1:1" x14ac:dyDescent="0.45">
      <c r="A703"/>
    </row>
    <row r="704" spans="1:1" x14ac:dyDescent="0.45">
      <c r="A704"/>
    </row>
    <row r="705" spans="1:1" x14ac:dyDescent="0.45">
      <c r="A705"/>
    </row>
    <row r="706" spans="1:1" x14ac:dyDescent="0.45">
      <c r="A706"/>
    </row>
    <row r="707" spans="1:1" x14ac:dyDescent="0.45">
      <c r="A707"/>
    </row>
    <row r="708" spans="1:1" x14ac:dyDescent="0.45">
      <c r="A708"/>
    </row>
    <row r="709" spans="1:1" x14ac:dyDescent="0.45">
      <c r="A709"/>
    </row>
    <row r="710" spans="1:1" x14ac:dyDescent="0.45">
      <c r="A710"/>
    </row>
    <row r="711" spans="1:1" x14ac:dyDescent="0.45">
      <c r="A711"/>
    </row>
    <row r="712" spans="1:1" x14ac:dyDescent="0.45">
      <c r="A712"/>
    </row>
    <row r="713" spans="1:1" x14ac:dyDescent="0.45">
      <c r="A713"/>
    </row>
    <row r="714" spans="1:1" x14ac:dyDescent="0.45">
      <c r="A714"/>
    </row>
    <row r="715" spans="1:1" x14ac:dyDescent="0.45">
      <c r="A715"/>
    </row>
    <row r="716" spans="1:1" x14ac:dyDescent="0.45">
      <c r="A716"/>
    </row>
    <row r="717" spans="1:1" x14ac:dyDescent="0.45">
      <c r="A717"/>
    </row>
    <row r="718" spans="1:1" x14ac:dyDescent="0.45">
      <c r="A718"/>
    </row>
    <row r="719" spans="1:1" x14ac:dyDescent="0.45">
      <c r="A719"/>
    </row>
    <row r="720" spans="1:1" x14ac:dyDescent="0.45">
      <c r="A720"/>
    </row>
    <row r="721" spans="1:1" x14ac:dyDescent="0.45">
      <c r="A721"/>
    </row>
    <row r="722" spans="1:1" x14ac:dyDescent="0.45">
      <c r="A722"/>
    </row>
    <row r="723" spans="1:1" x14ac:dyDescent="0.45">
      <c r="A723"/>
    </row>
    <row r="724" spans="1:1" x14ac:dyDescent="0.45">
      <c r="A724"/>
    </row>
    <row r="725" spans="1:1" x14ac:dyDescent="0.45">
      <c r="A725"/>
    </row>
    <row r="726" spans="1:1" x14ac:dyDescent="0.45">
      <c r="A726"/>
    </row>
    <row r="727" spans="1:1" x14ac:dyDescent="0.45">
      <c r="A727"/>
    </row>
    <row r="728" spans="1:1" x14ac:dyDescent="0.45">
      <c r="A728"/>
    </row>
    <row r="729" spans="1:1" x14ac:dyDescent="0.45">
      <c r="A729"/>
    </row>
    <row r="730" spans="1:1" x14ac:dyDescent="0.45">
      <c r="A730"/>
    </row>
    <row r="731" spans="1:1" x14ac:dyDescent="0.45">
      <c r="A731"/>
    </row>
    <row r="732" spans="1:1" x14ac:dyDescent="0.45">
      <c r="A732"/>
    </row>
    <row r="733" spans="1:1" x14ac:dyDescent="0.45">
      <c r="A733"/>
    </row>
    <row r="734" spans="1:1" x14ac:dyDescent="0.45">
      <c r="A734"/>
    </row>
    <row r="735" spans="1:1" x14ac:dyDescent="0.45">
      <c r="A735"/>
    </row>
    <row r="736" spans="1:1" x14ac:dyDescent="0.45">
      <c r="A736"/>
    </row>
    <row r="737" spans="1:1" x14ac:dyDescent="0.45">
      <c r="A737"/>
    </row>
    <row r="738" spans="1:1" x14ac:dyDescent="0.45">
      <c r="A738"/>
    </row>
    <row r="739" spans="1:1" x14ac:dyDescent="0.45">
      <c r="A739"/>
    </row>
    <row r="740" spans="1:1" x14ac:dyDescent="0.45">
      <c r="A740"/>
    </row>
    <row r="741" spans="1:1" x14ac:dyDescent="0.45">
      <c r="A741"/>
    </row>
    <row r="742" spans="1:1" x14ac:dyDescent="0.45">
      <c r="A742"/>
    </row>
    <row r="743" spans="1:1" x14ac:dyDescent="0.45">
      <c r="A743"/>
    </row>
    <row r="744" spans="1:1" x14ac:dyDescent="0.45">
      <c r="A744"/>
    </row>
    <row r="745" spans="1:1" x14ac:dyDescent="0.45">
      <c r="A745"/>
    </row>
    <row r="746" spans="1:1" x14ac:dyDescent="0.45">
      <c r="A746"/>
    </row>
    <row r="747" spans="1:1" x14ac:dyDescent="0.45">
      <c r="A747"/>
    </row>
    <row r="748" spans="1:1" x14ac:dyDescent="0.45">
      <c r="A748"/>
    </row>
    <row r="749" spans="1:1" x14ac:dyDescent="0.45">
      <c r="A749"/>
    </row>
    <row r="750" spans="1:1" x14ac:dyDescent="0.45">
      <c r="A750"/>
    </row>
    <row r="751" spans="1:1" x14ac:dyDescent="0.45">
      <c r="A751"/>
    </row>
    <row r="752" spans="1:1" x14ac:dyDescent="0.45">
      <c r="A752"/>
    </row>
    <row r="753" spans="1:1" x14ac:dyDescent="0.45">
      <c r="A753"/>
    </row>
    <row r="754" spans="1:1" x14ac:dyDescent="0.45">
      <c r="A754"/>
    </row>
    <row r="755" spans="1:1" x14ac:dyDescent="0.45">
      <c r="A755"/>
    </row>
    <row r="756" spans="1:1" x14ac:dyDescent="0.45">
      <c r="A756"/>
    </row>
    <row r="757" spans="1:1" x14ac:dyDescent="0.45">
      <c r="A757"/>
    </row>
    <row r="758" spans="1:1" x14ac:dyDescent="0.45">
      <c r="A758"/>
    </row>
    <row r="759" spans="1:1" x14ac:dyDescent="0.45">
      <c r="A759"/>
    </row>
    <row r="760" spans="1:1" x14ac:dyDescent="0.45">
      <c r="A760"/>
    </row>
    <row r="761" spans="1:1" x14ac:dyDescent="0.45">
      <c r="A761"/>
    </row>
    <row r="762" spans="1:1" x14ac:dyDescent="0.45">
      <c r="A762"/>
    </row>
    <row r="763" spans="1:1" x14ac:dyDescent="0.45">
      <c r="A763"/>
    </row>
    <row r="764" spans="1:1" x14ac:dyDescent="0.45">
      <c r="A764"/>
    </row>
    <row r="765" spans="1:1" x14ac:dyDescent="0.45">
      <c r="A765"/>
    </row>
    <row r="766" spans="1:1" x14ac:dyDescent="0.45">
      <c r="A766"/>
    </row>
    <row r="767" spans="1:1" x14ac:dyDescent="0.45">
      <c r="A767"/>
    </row>
    <row r="768" spans="1:1" x14ac:dyDescent="0.45">
      <c r="A768"/>
    </row>
    <row r="769" spans="1:1" x14ac:dyDescent="0.45">
      <c r="A769"/>
    </row>
    <row r="770" spans="1:1" x14ac:dyDescent="0.45">
      <c r="A770"/>
    </row>
    <row r="771" spans="1:1" x14ac:dyDescent="0.45">
      <c r="A771"/>
    </row>
    <row r="772" spans="1:1" x14ac:dyDescent="0.45">
      <c r="A772"/>
    </row>
    <row r="773" spans="1:1" x14ac:dyDescent="0.45">
      <c r="A773"/>
    </row>
    <row r="774" spans="1:1" x14ac:dyDescent="0.45">
      <c r="A774"/>
    </row>
    <row r="775" spans="1:1" x14ac:dyDescent="0.45">
      <c r="A775"/>
    </row>
    <row r="776" spans="1:1" x14ac:dyDescent="0.45">
      <c r="A776"/>
    </row>
    <row r="777" spans="1:1" x14ac:dyDescent="0.45">
      <c r="A777"/>
    </row>
    <row r="778" spans="1:1" x14ac:dyDescent="0.45">
      <c r="A778"/>
    </row>
    <row r="779" spans="1:1" x14ac:dyDescent="0.45">
      <c r="A779"/>
    </row>
    <row r="780" spans="1:1" x14ac:dyDescent="0.45">
      <c r="A780"/>
    </row>
    <row r="781" spans="1:1" x14ac:dyDescent="0.45">
      <c r="A781"/>
    </row>
    <row r="782" spans="1:1" x14ac:dyDescent="0.45">
      <c r="A782"/>
    </row>
    <row r="783" spans="1:1" x14ac:dyDescent="0.45">
      <c r="A783"/>
    </row>
    <row r="784" spans="1:1" x14ac:dyDescent="0.45">
      <c r="A784"/>
    </row>
    <row r="785" spans="1:1" x14ac:dyDescent="0.45">
      <c r="A785"/>
    </row>
    <row r="786" spans="1:1" x14ac:dyDescent="0.45">
      <c r="A786"/>
    </row>
    <row r="787" spans="1:1" x14ac:dyDescent="0.45">
      <c r="A787"/>
    </row>
    <row r="788" spans="1:1" x14ac:dyDescent="0.45">
      <c r="A788"/>
    </row>
    <row r="789" spans="1:1" x14ac:dyDescent="0.45">
      <c r="A789"/>
    </row>
    <row r="790" spans="1:1" x14ac:dyDescent="0.45">
      <c r="A790"/>
    </row>
    <row r="791" spans="1:1" x14ac:dyDescent="0.45">
      <c r="A791"/>
    </row>
    <row r="792" spans="1:1" x14ac:dyDescent="0.45">
      <c r="A792"/>
    </row>
    <row r="793" spans="1:1" x14ac:dyDescent="0.45">
      <c r="A793"/>
    </row>
    <row r="794" spans="1:1" x14ac:dyDescent="0.45">
      <c r="A794"/>
    </row>
    <row r="795" spans="1:1" x14ac:dyDescent="0.45">
      <c r="A795"/>
    </row>
    <row r="796" spans="1:1" x14ac:dyDescent="0.45">
      <c r="A796"/>
    </row>
    <row r="797" spans="1:1" x14ac:dyDescent="0.45">
      <c r="A797"/>
    </row>
    <row r="798" spans="1:1" x14ac:dyDescent="0.45">
      <c r="A798"/>
    </row>
    <row r="799" spans="1:1" x14ac:dyDescent="0.45">
      <c r="A799"/>
    </row>
    <row r="800" spans="1:1" x14ac:dyDescent="0.45">
      <c r="A800"/>
    </row>
    <row r="801" spans="1:1" x14ac:dyDescent="0.45">
      <c r="A801"/>
    </row>
    <row r="802" spans="1:1" x14ac:dyDescent="0.45">
      <c r="A802"/>
    </row>
    <row r="803" spans="1:1" x14ac:dyDescent="0.45">
      <c r="A803"/>
    </row>
    <row r="804" spans="1:1" x14ac:dyDescent="0.45">
      <c r="A804"/>
    </row>
    <row r="805" spans="1:1" x14ac:dyDescent="0.45">
      <c r="A805"/>
    </row>
    <row r="806" spans="1:1" x14ac:dyDescent="0.45">
      <c r="A806"/>
    </row>
    <row r="807" spans="1:1" x14ac:dyDescent="0.45">
      <c r="A807"/>
    </row>
    <row r="808" spans="1:1" x14ac:dyDescent="0.45">
      <c r="A808"/>
    </row>
    <row r="809" spans="1:1" x14ac:dyDescent="0.45">
      <c r="A809"/>
    </row>
    <row r="810" spans="1:1" x14ac:dyDescent="0.45">
      <c r="A810"/>
    </row>
    <row r="811" spans="1:1" x14ac:dyDescent="0.45">
      <c r="A811"/>
    </row>
    <row r="812" spans="1:1" x14ac:dyDescent="0.45">
      <c r="A812"/>
    </row>
    <row r="813" spans="1:1" x14ac:dyDescent="0.45">
      <c r="A813"/>
    </row>
    <row r="814" spans="1:1" x14ac:dyDescent="0.45">
      <c r="A814"/>
    </row>
    <row r="815" spans="1:1" x14ac:dyDescent="0.45">
      <c r="A815"/>
    </row>
    <row r="816" spans="1:1" x14ac:dyDescent="0.45">
      <c r="A816"/>
    </row>
    <row r="817" spans="1:1" x14ac:dyDescent="0.45">
      <c r="A817"/>
    </row>
    <row r="818" spans="1:1" x14ac:dyDescent="0.45">
      <c r="A818"/>
    </row>
    <row r="819" spans="1:1" x14ac:dyDescent="0.45">
      <c r="A819"/>
    </row>
    <row r="820" spans="1:1" x14ac:dyDescent="0.45">
      <c r="A820"/>
    </row>
    <row r="821" spans="1:1" x14ac:dyDescent="0.45">
      <c r="A821"/>
    </row>
    <row r="822" spans="1:1" x14ac:dyDescent="0.45">
      <c r="A822"/>
    </row>
    <row r="823" spans="1:1" x14ac:dyDescent="0.45">
      <c r="A823"/>
    </row>
    <row r="824" spans="1:1" x14ac:dyDescent="0.45">
      <c r="A824"/>
    </row>
    <row r="825" spans="1:1" x14ac:dyDescent="0.45">
      <c r="A825"/>
    </row>
    <row r="826" spans="1:1" x14ac:dyDescent="0.45">
      <c r="A826"/>
    </row>
    <row r="827" spans="1:1" x14ac:dyDescent="0.45">
      <c r="A827"/>
    </row>
    <row r="828" spans="1:1" x14ac:dyDescent="0.45">
      <c r="A828"/>
    </row>
    <row r="829" spans="1:1" x14ac:dyDescent="0.45">
      <c r="A829"/>
    </row>
    <row r="830" spans="1:1" x14ac:dyDescent="0.45">
      <c r="A830"/>
    </row>
    <row r="831" spans="1:1" x14ac:dyDescent="0.45">
      <c r="A831"/>
    </row>
    <row r="832" spans="1:1" x14ac:dyDescent="0.45">
      <c r="A832"/>
    </row>
    <row r="833" spans="1:1" x14ac:dyDescent="0.45">
      <c r="A833"/>
    </row>
    <row r="834" spans="1:1" x14ac:dyDescent="0.45">
      <c r="A834"/>
    </row>
    <row r="835" spans="1:1" x14ac:dyDescent="0.45">
      <c r="A835"/>
    </row>
    <row r="836" spans="1:1" x14ac:dyDescent="0.45">
      <c r="A836"/>
    </row>
    <row r="837" spans="1:1" x14ac:dyDescent="0.45">
      <c r="A837"/>
    </row>
    <row r="838" spans="1:1" x14ac:dyDescent="0.45">
      <c r="A838"/>
    </row>
    <row r="839" spans="1:1" x14ac:dyDescent="0.45">
      <c r="A839"/>
    </row>
    <row r="840" spans="1:1" x14ac:dyDescent="0.45">
      <c r="A840"/>
    </row>
    <row r="841" spans="1:1" x14ac:dyDescent="0.45">
      <c r="A841"/>
    </row>
    <row r="842" spans="1:1" x14ac:dyDescent="0.45">
      <c r="A842"/>
    </row>
    <row r="843" spans="1:1" x14ac:dyDescent="0.45">
      <c r="A843"/>
    </row>
    <row r="844" spans="1:1" x14ac:dyDescent="0.45">
      <c r="A844"/>
    </row>
    <row r="845" spans="1:1" x14ac:dyDescent="0.45">
      <c r="A845"/>
    </row>
    <row r="846" spans="1:1" x14ac:dyDescent="0.45">
      <c r="A846"/>
    </row>
    <row r="847" spans="1:1" x14ac:dyDescent="0.45">
      <c r="A847"/>
    </row>
    <row r="848" spans="1:1" x14ac:dyDescent="0.45">
      <c r="A848"/>
    </row>
    <row r="849" spans="1:1" x14ac:dyDescent="0.45">
      <c r="A849"/>
    </row>
    <row r="850" spans="1:1" x14ac:dyDescent="0.45">
      <c r="A850"/>
    </row>
    <row r="851" spans="1:1" x14ac:dyDescent="0.45">
      <c r="A851"/>
    </row>
    <row r="852" spans="1:1" x14ac:dyDescent="0.45">
      <c r="A852"/>
    </row>
    <row r="853" spans="1:1" x14ac:dyDescent="0.45">
      <c r="A853"/>
    </row>
    <row r="854" spans="1:1" x14ac:dyDescent="0.45">
      <c r="A854"/>
    </row>
    <row r="855" spans="1:1" x14ac:dyDescent="0.45">
      <c r="A855"/>
    </row>
    <row r="856" spans="1:1" x14ac:dyDescent="0.45">
      <c r="A856"/>
    </row>
    <row r="857" spans="1:1" x14ac:dyDescent="0.45">
      <c r="A857"/>
    </row>
    <row r="858" spans="1:1" x14ac:dyDescent="0.45">
      <c r="A858"/>
    </row>
    <row r="859" spans="1:1" x14ac:dyDescent="0.45">
      <c r="A859"/>
    </row>
    <row r="860" spans="1:1" x14ac:dyDescent="0.45">
      <c r="A860"/>
    </row>
    <row r="861" spans="1:1" x14ac:dyDescent="0.45">
      <c r="A861"/>
    </row>
    <row r="862" spans="1:1" x14ac:dyDescent="0.45">
      <c r="A862"/>
    </row>
    <row r="863" spans="1:1" x14ac:dyDescent="0.45">
      <c r="A863"/>
    </row>
    <row r="864" spans="1:1" x14ac:dyDescent="0.45">
      <c r="A864"/>
    </row>
    <row r="865" spans="1:1" x14ac:dyDescent="0.45">
      <c r="A865"/>
    </row>
    <row r="866" spans="1:1" x14ac:dyDescent="0.45">
      <c r="A866"/>
    </row>
    <row r="867" spans="1:1" x14ac:dyDescent="0.45">
      <c r="A867"/>
    </row>
    <row r="868" spans="1:1" x14ac:dyDescent="0.45">
      <c r="A868"/>
    </row>
    <row r="869" spans="1:1" x14ac:dyDescent="0.45">
      <c r="A869"/>
    </row>
    <row r="870" spans="1:1" x14ac:dyDescent="0.45">
      <c r="A870"/>
    </row>
    <row r="871" spans="1:1" x14ac:dyDescent="0.45">
      <c r="A871"/>
    </row>
    <row r="872" spans="1:1" x14ac:dyDescent="0.45">
      <c r="A872"/>
    </row>
    <row r="873" spans="1:1" x14ac:dyDescent="0.45">
      <c r="A873"/>
    </row>
    <row r="874" spans="1:1" x14ac:dyDescent="0.45">
      <c r="A874"/>
    </row>
    <row r="875" spans="1:1" x14ac:dyDescent="0.45">
      <c r="A875"/>
    </row>
    <row r="876" spans="1:1" x14ac:dyDescent="0.45">
      <c r="A876"/>
    </row>
    <row r="877" spans="1:1" x14ac:dyDescent="0.45">
      <c r="A877"/>
    </row>
    <row r="878" spans="1:1" x14ac:dyDescent="0.45">
      <c r="A878"/>
    </row>
    <row r="879" spans="1:1" x14ac:dyDescent="0.45">
      <c r="A879"/>
    </row>
    <row r="880" spans="1:1" x14ac:dyDescent="0.45">
      <c r="A880"/>
    </row>
    <row r="881" spans="1:1" x14ac:dyDescent="0.45">
      <c r="A881"/>
    </row>
    <row r="882" spans="1:1" x14ac:dyDescent="0.45">
      <c r="A882"/>
    </row>
    <row r="883" spans="1:1" x14ac:dyDescent="0.45">
      <c r="A883"/>
    </row>
    <row r="884" spans="1:1" x14ac:dyDescent="0.45">
      <c r="A884"/>
    </row>
    <row r="885" spans="1:1" x14ac:dyDescent="0.45">
      <c r="A885"/>
    </row>
    <row r="886" spans="1:1" x14ac:dyDescent="0.45">
      <c r="A886"/>
    </row>
    <row r="887" spans="1:1" x14ac:dyDescent="0.45">
      <c r="A887"/>
    </row>
    <row r="888" spans="1:1" x14ac:dyDescent="0.45">
      <c r="A888"/>
    </row>
    <row r="889" spans="1:1" x14ac:dyDescent="0.45">
      <c r="A889"/>
    </row>
    <row r="890" spans="1:1" x14ac:dyDescent="0.45">
      <c r="A890"/>
    </row>
    <row r="891" spans="1:1" x14ac:dyDescent="0.45">
      <c r="A891"/>
    </row>
    <row r="892" spans="1:1" x14ac:dyDescent="0.45">
      <c r="A892"/>
    </row>
    <row r="893" spans="1:1" x14ac:dyDescent="0.45">
      <c r="A893"/>
    </row>
    <row r="894" spans="1:1" x14ac:dyDescent="0.45">
      <c r="A894"/>
    </row>
    <row r="895" spans="1:1" x14ac:dyDescent="0.45">
      <c r="A895"/>
    </row>
    <row r="896" spans="1:1" x14ac:dyDescent="0.45">
      <c r="A896"/>
    </row>
    <row r="897" spans="1:1" x14ac:dyDescent="0.45">
      <c r="A897"/>
    </row>
    <row r="898" spans="1:1" x14ac:dyDescent="0.45">
      <c r="A898"/>
    </row>
    <row r="899" spans="1:1" x14ac:dyDescent="0.45">
      <c r="A899"/>
    </row>
    <row r="900" spans="1:1" x14ac:dyDescent="0.45">
      <c r="A900"/>
    </row>
    <row r="901" spans="1:1" x14ac:dyDescent="0.45">
      <c r="A901"/>
    </row>
    <row r="902" spans="1:1" x14ac:dyDescent="0.45">
      <c r="A902"/>
    </row>
    <row r="903" spans="1:1" x14ac:dyDescent="0.45">
      <c r="A903"/>
    </row>
    <row r="904" spans="1:1" x14ac:dyDescent="0.45">
      <c r="A904"/>
    </row>
    <row r="905" spans="1:1" x14ac:dyDescent="0.45">
      <c r="A905"/>
    </row>
    <row r="906" spans="1:1" x14ac:dyDescent="0.45">
      <c r="A906"/>
    </row>
    <row r="907" spans="1:1" x14ac:dyDescent="0.45">
      <c r="A907"/>
    </row>
    <row r="908" spans="1:1" x14ac:dyDescent="0.45">
      <c r="A908"/>
    </row>
    <row r="909" spans="1:1" x14ac:dyDescent="0.45">
      <c r="A909"/>
    </row>
    <row r="910" spans="1:1" x14ac:dyDescent="0.45">
      <c r="A910"/>
    </row>
    <row r="911" spans="1:1" x14ac:dyDescent="0.45">
      <c r="A911"/>
    </row>
    <row r="912" spans="1:1" x14ac:dyDescent="0.45">
      <c r="A912"/>
    </row>
    <row r="913" spans="1:1" x14ac:dyDescent="0.45">
      <c r="A913"/>
    </row>
    <row r="914" spans="1:1" x14ac:dyDescent="0.45">
      <c r="A914"/>
    </row>
    <row r="915" spans="1:1" x14ac:dyDescent="0.45">
      <c r="A915"/>
    </row>
    <row r="916" spans="1:1" x14ac:dyDescent="0.45">
      <c r="A916"/>
    </row>
    <row r="917" spans="1:1" x14ac:dyDescent="0.45">
      <c r="A917"/>
    </row>
    <row r="918" spans="1:1" x14ac:dyDescent="0.45">
      <c r="A918"/>
    </row>
    <row r="919" spans="1:1" x14ac:dyDescent="0.45">
      <c r="A919"/>
    </row>
    <row r="920" spans="1:1" x14ac:dyDescent="0.45">
      <c r="A920"/>
    </row>
    <row r="921" spans="1:1" x14ac:dyDescent="0.45">
      <c r="A921"/>
    </row>
    <row r="922" spans="1:1" x14ac:dyDescent="0.45">
      <c r="A922"/>
    </row>
    <row r="923" spans="1:1" x14ac:dyDescent="0.45">
      <c r="A923"/>
    </row>
    <row r="924" spans="1:1" x14ac:dyDescent="0.45">
      <c r="A924"/>
    </row>
    <row r="925" spans="1:1" x14ac:dyDescent="0.45">
      <c r="A925"/>
    </row>
    <row r="926" spans="1:1" x14ac:dyDescent="0.45">
      <c r="A926"/>
    </row>
    <row r="927" spans="1:1" x14ac:dyDescent="0.45">
      <c r="A927"/>
    </row>
    <row r="928" spans="1:1" x14ac:dyDescent="0.45">
      <c r="A928"/>
    </row>
    <row r="929" spans="1:1" x14ac:dyDescent="0.45">
      <c r="A929"/>
    </row>
    <row r="930" spans="1:1" x14ac:dyDescent="0.45">
      <c r="A930"/>
    </row>
    <row r="931" spans="1:1" x14ac:dyDescent="0.45">
      <c r="A931"/>
    </row>
    <row r="932" spans="1:1" x14ac:dyDescent="0.45">
      <c r="A932"/>
    </row>
    <row r="933" spans="1:1" x14ac:dyDescent="0.45">
      <c r="A933"/>
    </row>
    <row r="934" spans="1:1" x14ac:dyDescent="0.45">
      <c r="A934"/>
    </row>
    <row r="935" spans="1:1" x14ac:dyDescent="0.45">
      <c r="A935"/>
    </row>
    <row r="936" spans="1:1" x14ac:dyDescent="0.45">
      <c r="A936"/>
    </row>
    <row r="937" spans="1:1" x14ac:dyDescent="0.45">
      <c r="A937"/>
    </row>
    <row r="938" spans="1:1" x14ac:dyDescent="0.45">
      <c r="A938"/>
    </row>
    <row r="939" spans="1:1" x14ac:dyDescent="0.45">
      <c r="A939"/>
    </row>
    <row r="940" spans="1:1" x14ac:dyDescent="0.45">
      <c r="A940"/>
    </row>
    <row r="941" spans="1:1" x14ac:dyDescent="0.45">
      <c r="A941"/>
    </row>
    <row r="942" spans="1:1" x14ac:dyDescent="0.45">
      <c r="A942"/>
    </row>
    <row r="943" spans="1:1" x14ac:dyDescent="0.45">
      <c r="A943"/>
    </row>
    <row r="944" spans="1:1" x14ac:dyDescent="0.45">
      <c r="A944"/>
    </row>
    <row r="945" spans="1:1" x14ac:dyDescent="0.45">
      <c r="A945"/>
    </row>
    <row r="946" spans="1:1" x14ac:dyDescent="0.45">
      <c r="A946"/>
    </row>
    <row r="947" spans="1:1" x14ac:dyDescent="0.45">
      <c r="A947"/>
    </row>
    <row r="948" spans="1:1" x14ac:dyDescent="0.45">
      <c r="A948"/>
    </row>
    <row r="949" spans="1:1" x14ac:dyDescent="0.45">
      <c r="A949"/>
    </row>
    <row r="950" spans="1:1" x14ac:dyDescent="0.45">
      <c r="A950"/>
    </row>
    <row r="951" spans="1:1" x14ac:dyDescent="0.45">
      <c r="A951"/>
    </row>
    <row r="952" spans="1:1" x14ac:dyDescent="0.45">
      <c r="A952"/>
    </row>
    <row r="953" spans="1:1" x14ac:dyDescent="0.45">
      <c r="A953"/>
    </row>
    <row r="954" spans="1:1" x14ac:dyDescent="0.45">
      <c r="A954"/>
    </row>
    <row r="955" spans="1:1" x14ac:dyDescent="0.45">
      <c r="A955"/>
    </row>
    <row r="956" spans="1:1" x14ac:dyDescent="0.45">
      <c r="A956"/>
    </row>
    <row r="957" spans="1:1" x14ac:dyDescent="0.45">
      <c r="A957"/>
    </row>
    <row r="958" spans="1:1" x14ac:dyDescent="0.45">
      <c r="A958"/>
    </row>
    <row r="959" spans="1:1" x14ac:dyDescent="0.45">
      <c r="A959"/>
    </row>
    <row r="960" spans="1:1" x14ac:dyDescent="0.45">
      <c r="A960"/>
    </row>
    <row r="961" spans="1:1" x14ac:dyDescent="0.45">
      <c r="A961"/>
    </row>
    <row r="962" spans="1:1" x14ac:dyDescent="0.45">
      <c r="A962"/>
    </row>
    <row r="963" spans="1:1" x14ac:dyDescent="0.45">
      <c r="A963"/>
    </row>
    <row r="964" spans="1:1" x14ac:dyDescent="0.45">
      <c r="A964"/>
    </row>
    <row r="965" spans="1:1" x14ac:dyDescent="0.45">
      <c r="A965"/>
    </row>
    <row r="966" spans="1:1" x14ac:dyDescent="0.45">
      <c r="A966"/>
    </row>
    <row r="967" spans="1:1" x14ac:dyDescent="0.45">
      <c r="A967"/>
    </row>
    <row r="968" spans="1:1" x14ac:dyDescent="0.45">
      <c r="A968"/>
    </row>
    <row r="969" spans="1:1" x14ac:dyDescent="0.45">
      <c r="A969"/>
    </row>
    <row r="970" spans="1:1" x14ac:dyDescent="0.45">
      <c r="A970"/>
    </row>
    <row r="971" spans="1:1" x14ac:dyDescent="0.45">
      <c r="A971"/>
    </row>
    <row r="972" spans="1:1" x14ac:dyDescent="0.45">
      <c r="A972"/>
    </row>
    <row r="973" spans="1:1" x14ac:dyDescent="0.45">
      <c r="A973"/>
    </row>
    <row r="974" spans="1:1" x14ac:dyDescent="0.45">
      <c r="A974"/>
    </row>
    <row r="975" spans="1:1" x14ac:dyDescent="0.45">
      <c r="A975"/>
    </row>
    <row r="976" spans="1:1" x14ac:dyDescent="0.45">
      <c r="A976"/>
    </row>
    <row r="977" spans="1:1" x14ac:dyDescent="0.45">
      <c r="A977"/>
    </row>
    <row r="978" spans="1:1" x14ac:dyDescent="0.45">
      <c r="A978"/>
    </row>
    <row r="979" spans="1:1" x14ac:dyDescent="0.45">
      <c r="A979"/>
    </row>
    <row r="980" spans="1:1" x14ac:dyDescent="0.45">
      <c r="A980"/>
    </row>
    <row r="981" spans="1:1" x14ac:dyDescent="0.45">
      <c r="A981"/>
    </row>
    <row r="982" spans="1:1" x14ac:dyDescent="0.45">
      <c r="A982"/>
    </row>
    <row r="983" spans="1:1" x14ac:dyDescent="0.45">
      <c r="A983"/>
    </row>
    <row r="984" spans="1:1" x14ac:dyDescent="0.45">
      <c r="A984"/>
    </row>
    <row r="985" spans="1:1" x14ac:dyDescent="0.45">
      <c r="A985"/>
    </row>
    <row r="986" spans="1:1" x14ac:dyDescent="0.45">
      <c r="A986"/>
    </row>
    <row r="987" spans="1:1" x14ac:dyDescent="0.45">
      <c r="A987"/>
    </row>
    <row r="988" spans="1:1" x14ac:dyDescent="0.45">
      <c r="A988"/>
    </row>
    <row r="989" spans="1:1" x14ac:dyDescent="0.45">
      <c r="A989"/>
    </row>
    <row r="990" spans="1:1" x14ac:dyDescent="0.45">
      <c r="A990"/>
    </row>
    <row r="991" spans="1:1" x14ac:dyDescent="0.45">
      <c r="A991"/>
    </row>
    <row r="992" spans="1:1" x14ac:dyDescent="0.45">
      <c r="A992"/>
    </row>
    <row r="993" spans="1:1" x14ac:dyDescent="0.45">
      <c r="A993"/>
    </row>
    <row r="994" spans="1:1" x14ac:dyDescent="0.45">
      <c r="A994"/>
    </row>
    <row r="995" spans="1:1" x14ac:dyDescent="0.45">
      <c r="A995"/>
    </row>
    <row r="996" spans="1:1" x14ac:dyDescent="0.45">
      <c r="A996"/>
    </row>
    <row r="997" spans="1:1" x14ac:dyDescent="0.45">
      <c r="A997"/>
    </row>
    <row r="998" spans="1:1" x14ac:dyDescent="0.45">
      <c r="A998"/>
    </row>
    <row r="999" spans="1:1" x14ac:dyDescent="0.45">
      <c r="A999"/>
    </row>
    <row r="1000" spans="1:1" x14ac:dyDescent="0.45">
      <c r="A1000"/>
    </row>
    <row r="1001" spans="1:1" x14ac:dyDescent="0.45">
      <c r="A1001"/>
    </row>
    <row r="1002" spans="1:1" x14ac:dyDescent="0.45">
      <c r="A1002"/>
    </row>
    <row r="1003" spans="1:1" x14ac:dyDescent="0.45">
      <c r="A1003"/>
    </row>
    <row r="1004" spans="1:1" x14ac:dyDescent="0.45">
      <c r="A1004"/>
    </row>
    <row r="1005" spans="1:1" x14ac:dyDescent="0.45">
      <c r="A1005"/>
    </row>
    <row r="1006" spans="1:1" x14ac:dyDescent="0.45">
      <c r="A1006"/>
    </row>
    <row r="1007" spans="1:1" x14ac:dyDescent="0.45">
      <c r="A1007"/>
    </row>
    <row r="1008" spans="1:1" x14ac:dyDescent="0.45">
      <c r="A1008"/>
    </row>
  </sheetData>
  <mergeCells count="4">
    <mergeCell ref="M6:O6"/>
    <mergeCell ref="B6:E6"/>
    <mergeCell ref="F6:I6"/>
    <mergeCell ref="J6:L6"/>
  </mergeCells>
  <pageMargins left="0.7" right="0.7" top="0.75" bottom="0.75" header="0.3" footer="0.3"/>
  <pageSetup orientation="portrait" horizontalDpi="1200" verticalDpi="120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D29"/>
  <sheetViews>
    <sheetView zoomScale="85" zoomScaleNormal="85" workbookViewId="0">
      <selection activeCell="E8" sqref="E8"/>
    </sheetView>
  </sheetViews>
  <sheetFormatPr defaultColWidth="8.86328125" defaultRowHeight="14.25" x14ac:dyDescent="0.45"/>
  <cols>
    <col min="1" max="1" width="30.265625" customWidth="1"/>
    <col min="2" max="2" width="24.3984375" customWidth="1"/>
    <col min="3" max="3" width="17.1328125" customWidth="1"/>
    <col min="4" max="4" width="83.1328125" customWidth="1"/>
  </cols>
  <sheetData>
    <row r="1" spans="1:4" ht="15" x14ac:dyDescent="0.2">
      <c r="A1" s="19" t="str">
        <f>'Portfolio Summary'!A1</f>
        <v>BAY AREA REGIONAL ENERGY NETWORK (BAYREN)</v>
      </c>
    </row>
    <row r="2" spans="1:4" ht="15" x14ac:dyDescent="0.2">
      <c r="A2" s="19" t="s">
        <v>112</v>
      </c>
    </row>
    <row r="3" spans="1:4" ht="15" x14ac:dyDescent="0.2">
      <c r="A3" s="20" t="s">
        <v>114</v>
      </c>
    </row>
    <row r="6" spans="1:4" ht="15.95" thickBot="1" x14ac:dyDescent="0.25"/>
    <row r="7" spans="1:4" ht="33" thickBot="1" x14ac:dyDescent="0.25">
      <c r="A7" s="58" t="s">
        <v>37</v>
      </c>
      <c r="B7" s="59" t="s">
        <v>38</v>
      </c>
      <c r="C7" s="60" t="s">
        <v>39</v>
      </c>
      <c r="D7" s="59" t="s">
        <v>40</v>
      </c>
    </row>
    <row r="8" spans="1:4" ht="79.150000000000006" thickBot="1" x14ac:dyDescent="0.5">
      <c r="A8" s="93" t="s">
        <v>83</v>
      </c>
      <c r="B8" s="93" t="s">
        <v>131</v>
      </c>
      <c r="C8" s="61" t="s">
        <v>41</v>
      </c>
      <c r="D8" s="61" t="s">
        <v>42</v>
      </c>
    </row>
    <row r="9" spans="1:4" ht="47.65" thickBot="1" x14ac:dyDescent="0.5">
      <c r="A9" s="92"/>
      <c r="B9" s="92"/>
      <c r="C9" s="61" t="s">
        <v>43</v>
      </c>
      <c r="D9" s="62" t="s">
        <v>44</v>
      </c>
    </row>
    <row r="10" spans="1:4" ht="94.9" thickBot="1" x14ac:dyDescent="0.5">
      <c r="A10" s="91" t="s">
        <v>45</v>
      </c>
      <c r="B10" s="91" t="s">
        <v>46</v>
      </c>
      <c r="C10" s="63" t="s">
        <v>47</v>
      </c>
      <c r="D10" s="61" t="s">
        <v>48</v>
      </c>
    </row>
    <row r="11" spans="1:4" ht="173.65" thickBot="1" x14ac:dyDescent="0.5">
      <c r="A11" s="96"/>
      <c r="B11" s="96"/>
      <c r="C11" s="61" t="s">
        <v>49</v>
      </c>
      <c r="D11" s="61" t="s">
        <v>50</v>
      </c>
    </row>
    <row r="12" spans="1:4" ht="31.9" thickBot="1" x14ac:dyDescent="0.5">
      <c r="A12" s="96"/>
      <c r="B12" s="96"/>
      <c r="C12" s="61" t="s">
        <v>51</v>
      </c>
      <c r="D12" s="64"/>
    </row>
    <row r="13" spans="1:4" ht="31.9" thickBot="1" x14ac:dyDescent="0.5">
      <c r="A13" s="99"/>
      <c r="B13" s="99"/>
      <c r="C13" s="65" t="s">
        <v>52</v>
      </c>
      <c r="D13" s="65" t="s">
        <v>53</v>
      </c>
    </row>
    <row r="14" spans="1:4" ht="38.25" customHeight="1" thickBot="1" x14ac:dyDescent="0.5">
      <c r="A14" s="93" t="s">
        <v>54</v>
      </c>
      <c r="B14" s="93" t="s">
        <v>55</v>
      </c>
      <c r="C14" s="61" t="s">
        <v>56</v>
      </c>
      <c r="D14" s="93" t="s">
        <v>57</v>
      </c>
    </row>
    <row r="15" spans="1:4" ht="32.25" customHeight="1" thickBot="1" x14ac:dyDescent="0.5">
      <c r="A15" s="96"/>
      <c r="B15" s="96"/>
      <c r="C15" s="61" t="s">
        <v>58</v>
      </c>
      <c r="D15" s="96"/>
    </row>
    <row r="16" spans="1:4" ht="31.9" thickBot="1" x14ac:dyDescent="0.5">
      <c r="A16" s="92"/>
      <c r="B16" s="92"/>
      <c r="C16" s="61" t="s">
        <v>59</v>
      </c>
      <c r="D16" s="92"/>
    </row>
    <row r="17" spans="1:4" ht="85.5" customHeight="1" thickBot="1" x14ac:dyDescent="0.25">
      <c r="A17" s="66" t="s">
        <v>85</v>
      </c>
      <c r="B17" s="65" t="s">
        <v>60</v>
      </c>
      <c r="C17" s="65" t="s">
        <v>61</v>
      </c>
      <c r="D17" s="67"/>
    </row>
    <row r="18" spans="1:4" ht="43.5" customHeight="1" thickBot="1" x14ac:dyDescent="0.3">
      <c r="A18" s="68" t="s">
        <v>62</v>
      </c>
      <c r="B18" s="65" t="s">
        <v>63</v>
      </c>
      <c r="C18" s="65" t="s">
        <v>62</v>
      </c>
      <c r="D18" s="67"/>
    </row>
    <row r="19" spans="1:4" ht="95.25" customHeight="1" x14ac:dyDescent="0.45">
      <c r="A19" s="93" t="s">
        <v>34</v>
      </c>
      <c r="B19" s="93" t="s">
        <v>86</v>
      </c>
      <c r="C19" s="94" t="s">
        <v>87</v>
      </c>
      <c r="D19" s="93" t="s">
        <v>64</v>
      </c>
    </row>
    <row r="20" spans="1:4" ht="14.65" thickBot="1" x14ac:dyDescent="0.5">
      <c r="A20" s="92"/>
      <c r="B20" s="92"/>
      <c r="C20" s="95"/>
      <c r="D20" s="92"/>
    </row>
    <row r="21" spans="1:4" ht="16.149999999999999" thickBot="1" x14ac:dyDescent="0.5">
      <c r="A21" s="91" t="s">
        <v>1</v>
      </c>
      <c r="B21" s="97" t="s">
        <v>65</v>
      </c>
      <c r="C21" s="61" t="s">
        <v>66</v>
      </c>
      <c r="D21" s="64" t="s">
        <v>67</v>
      </c>
    </row>
    <row r="22" spans="1:4" ht="31.9" thickBot="1" x14ac:dyDescent="0.5">
      <c r="A22" s="92"/>
      <c r="B22" s="98"/>
      <c r="C22" s="61" t="s">
        <v>68</v>
      </c>
      <c r="D22" s="61" t="s">
        <v>69</v>
      </c>
    </row>
    <row r="23" spans="1:4" ht="31.9" thickBot="1" x14ac:dyDescent="0.5">
      <c r="A23" s="91" t="s">
        <v>22</v>
      </c>
      <c r="B23" s="91" t="s">
        <v>71</v>
      </c>
      <c r="C23" s="61" t="s">
        <v>70</v>
      </c>
      <c r="D23" s="61" t="s">
        <v>72</v>
      </c>
    </row>
    <row r="24" spans="1:4" ht="31.9" thickBot="1" x14ac:dyDescent="0.5">
      <c r="A24" s="92"/>
      <c r="B24" s="92"/>
      <c r="C24" s="61" t="s">
        <v>73</v>
      </c>
      <c r="D24" s="61" t="s">
        <v>74</v>
      </c>
    </row>
    <row r="25" spans="1:4" ht="47.65" thickBot="1" x14ac:dyDescent="0.5">
      <c r="A25" s="69" t="s">
        <v>35</v>
      </c>
      <c r="B25" s="61" t="s">
        <v>75</v>
      </c>
      <c r="C25" s="61" t="s">
        <v>76</v>
      </c>
      <c r="D25" s="64"/>
    </row>
    <row r="26" spans="1:4" ht="59.25" customHeight="1" thickBot="1" x14ac:dyDescent="0.5">
      <c r="A26" s="93" t="s">
        <v>5</v>
      </c>
      <c r="B26" s="93" t="s">
        <v>77</v>
      </c>
      <c r="C26" s="61" t="s">
        <v>78</v>
      </c>
      <c r="D26" s="93" t="s">
        <v>79</v>
      </c>
    </row>
    <row r="27" spans="1:4" ht="16.149999999999999" thickBot="1" x14ac:dyDescent="0.5">
      <c r="A27" s="92"/>
      <c r="B27" s="92"/>
      <c r="C27" s="61" t="s">
        <v>80</v>
      </c>
      <c r="D27" s="92"/>
    </row>
    <row r="28" spans="1:4" ht="84.75" customHeight="1" thickBot="1" x14ac:dyDescent="0.5">
      <c r="A28" s="68" t="s">
        <v>36</v>
      </c>
      <c r="B28" s="65" t="s">
        <v>81</v>
      </c>
      <c r="C28" s="65" t="s">
        <v>36</v>
      </c>
      <c r="D28" s="67"/>
    </row>
    <row r="29" spans="1:4" ht="83.25" customHeight="1" thickBot="1" x14ac:dyDescent="0.5">
      <c r="A29" s="69" t="s">
        <v>0</v>
      </c>
      <c r="B29" s="61" t="s">
        <v>82</v>
      </c>
      <c r="C29" s="65" t="s">
        <v>0</v>
      </c>
      <c r="D29" s="67"/>
    </row>
  </sheetData>
  <mergeCells count="18">
    <mergeCell ref="A21:A22"/>
    <mergeCell ref="B21:B22"/>
    <mergeCell ref="A8:A9"/>
    <mergeCell ref="B8:B9"/>
    <mergeCell ref="A10:A13"/>
    <mergeCell ref="B10:B13"/>
    <mergeCell ref="A14:A16"/>
    <mergeCell ref="B14:B16"/>
    <mergeCell ref="C19:C20"/>
    <mergeCell ref="D14:D16"/>
    <mergeCell ref="A19:A20"/>
    <mergeCell ref="B19:B20"/>
    <mergeCell ref="D19:D20"/>
    <mergeCell ref="A23:A24"/>
    <mergeCell ref="B23:B24"/>
    <mergeCell ref="A26:A27"/>
    <mergeCell ref="B26:B27"/>
    <mergeCell ref="D26:D27"/>
  </mergeCells>
  <pageMargins left="0.25" right="0.25" top="0.5" bottom="0.5" header="0.3" footer="0.3"/>
  <pageSetup paperSize="17" scale="86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1:E22"/>
  <sheetViews>
    <sheetView zoomScale="90" zoomScaleNormal="90" workbookViewId="0">
      <selection activeCell="E8" sqref="E8"/>
    </sheetView>
  </sheetViews>
  <sheetFormatPr defaultColWidth="8.86328125" defaultRowHeight="14.25" x14ac:dyDescent="0.45"/>
  <cols>
    <col min="1" max="1" width="51.73046875" bestFit="1" customWidth="1"/>
    <col min="2" max="3" width="16.3984375" customWidth="1"/>
    <col min="4" max="4" width="17.3984375" style="8" customWidth="1"/>
    <col min="5" max="5" width="20.73046875" style="8" customWidth="1"/>
  </cols>
  <sheetData>
    <row r="1" spans="1:5" ht="15" x14ac:dyDescent="0.2">
      <c r="A1" s="19" t="str">
        <f>'Portfolio Summary'!A1</f>
        <v>BAY AREA REGIONAL ENERGY NETWORK (BAYREN)</v>
      </c>
    </row>
    <row r="2" spans="1:5" ht="15" x14ac:dyDescent="0.2">
      <c r="A2" s="19" t="s">
        <v>112</v>
      </c>
    </row>
    <row r="3" spans="1:5" ht="15" x14ac:dyDescent="0.2">
      <c r="A3" s="20" t="s">
        <v>115</v>
      </c>
    </row>
    <row r="6" spans="1:5" ht="30" x14ac:dyDescent="0.2">
      <c r="A6" s="4" t="s">
        <v>6</v>
      </c>
      <c r="B6" s="15" t="s">
        <v>90</v>
      </c>
      <c r="C6" s="15" t="s">
        <v>91</v>
      </c>
      <c r="D6" s="10"/>
      <c r="E6" s="10"/>
    </row>
    <row r="7" spans="1:5" ht="15" x14ac:dyDescent="0.2">
      <c r="A7" s="7" t="s">
        <v>83</v>
      </c>
      <c r="B7" s="71">
        <v>1.01</v>
      </c>
      <c r="C7" s="71">
        <f>B7+0.2+0.05</f>
        <v>1.26</v>
      </c>
    </row>
    <row r="8" spans="1:5" ht="15" x14ac:dyDescent="0.2">
      <c r="A8" s="7" t="s">
        <v>31</v>
      </c>
      <c r="B8" s="71">
        <v>0.77</v>
      </c>
      <c r="C8" s="71">
        <f>B8+0.75+0.85</f>
        <v>2.37</v>
      </c>
    </row>
    <row r="9" spans="1:5" ht="15" x14ac:dyDescent="0.2">
      <c r="A9" s="7" t="s">
        <v>54</v>
      </c>
      <c r="B9" s="71">
        <v>0</v>
      </c>
      <c r="C9" s="71">
        <v>0</v>
      </c>
    </row>
    <row r="10" spans="1:5" ht="15" x14ac:dyDescent="0.2">
      <c r="A10" s="7" t="s">
        <v>32</v>
      </c>
      <c r="B10" s="71">
        <v>0</v>
      </c>
      <c r="C10" s="71">
        <v>0</v>
      </c>
    </row>
    <row r="11" spans="1:5" ht="15" x14ac:dyDescent="0.2">
      <c r="A11" s="7" t="s">
        <v>33</v>
      </c>
      <c r="B11" s="71">
        <v>0</v>
      </c>
      <c r="C11" s="71">
        <v>0</v>
      </c>
    </row>
    <row r="12" spans="1:5" ht="15" x14ac:dyDescent="0.2">
      <c r="A12" s="7" t="s">
        <v>34</v>
      </c>
      <c r="B12" s="71">
        <v>0.08</v>
      </c>
      <c r="C12" s="71">
        <f>B12+0.05</f>
        <v>0.13</v>
      </c>
    </row>
    <row r="13" spans="1:5" ht="15" x14ac:dyDescent="0.2">
      <c r="A13" s="7" t="s">
        <v>1</v>
      </c>
      <c r="B13" s="71">
        <v>0</v>
      </c>
      <c r="C13" s="71">
        <v>0</v>
      </c>
    </row>
    <row r="14" spans="1:5" ht="15" x14ac:dyDescent="0.2">
      <c r="A14" s="7" t="s">
        <v>22</v>
      </c>
      <c r="B14" s="71">
        <v>0.09</v>
      </c>
      <c r="C14" s="71">
        <f>0.09+0.1</f>
        <v>0.19</v>
      </c>
    </row>
    <row r="15" spans="1:5" ht="15" x14ac:dyDescent="0.2">
      <c r="A15" s="7" t="s">
        <v>35</v>
      </c>
      <c r="B15" s="71">
        <v>0</v>
      </c>
      <c r="C15" s="71">
        <v>0</v>
      </c>
    </row>
    <row r="16" spans="1:5" ht="15" x14ac:dyDescent="0.2">
      <c r="A16" s="7" t="s">
        <v>5</v>
      </c>
      <c r="B16" s="71">
        <v>0.01</v>
      </c>
      <c r="C16" s="71">
        <v>0.01</v>
      </c>
    </row>
    <row r="17" spans="1:3" ht="15" x14ac:dyDescent="0.2">
      <c r="A17" s="7" t="s">
        <v>36</v>
      </c>
      <c r="B17" s="71">
        <v>0</v>
      </c>
      <c r="C17" s="71">
        <v>0</v>
      </c>
    </row>
    <row r="18" spans="1:3" ht="15" x14ac:dyDescent="0.2">
      <c r="A18" s="9" t="s">
        <v>17</v>
      </c>
      <c r="B18" s="72">
        <f>SUM(B7:B17)</f>
        <v>1.9600000000000002</v>
      </c>
      <c r="C18" s="72">
        <f>SUM(C7:C17)</f>
        <v>3.9599999999999995</v>
      </c>
    </row>
    <row r="20" spans="1:3" ht="15" x14ac:dyDescent="0.2">
      <c r="A20" s="77" t="s">
        <v>136</v>
      </c>
    </row>
    <row r="21" spans="1:3" ht="15" x14ac:dyDescent="0.2">
      <c r="A21" s="78" t="s">
        <v>138</v>
      </c>
    </row>
    <row r="22" spans="1:3" ht="15" x14ac:dyDescent="0.2">
      <c r="A22" s="78" t="s">
        <v>139</v>
      </c>
    </row>
  </sheetData>
  <pageMargins left="0.7" right="0.7" top="0.75" bottom="0.75" header="0.3" footer="0.3"/>
  <pageSetup orientation="portrait" horizontalDpi="1200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J41"/>
  <sheetViews>
    <sheetView topLeftCell="B8" zoomScaleNormal="100" workbookViewId="0">
      <selection activeCell="E33" sqref="E33"/>
    </sheetView>
  </sheetViews>
  <sheetFormatPr defaultColWidth="8.86328125" defaultRowHeight="14.25" x14ac:dyDescent="0.45"/>
  <cols>
    <col min="1" max="1" width="14.73046875" customWidth="1"/>
    <col min="2" max="2" width="33.1328125" customWidth="1"/>
    <col min="3" max="3" width="53.73046875" bestFit="1" customWidth="1"/>
    <col min="4" max="5" width="23.3984375" customWidth="1"/>
    <col min="6" max="6" width="12.86328125" bestFit="1" customWidth="1"/>
    <col min="10" max="10" width="11.73046875" bestFit="1" customWidth="1"/>
  </cols>
  <sheetData>
    <row r="1" spans="1:8" ht="15" x14ac:dyDescent="0.2">
      <c r="A1" s="19" t="str">
        <f>'Portfolio Summary'!A1</f>
        <v>BAY AREA REGIONAL ENERGY NETWORK (BAYREN)</v>
      </c>
    </row>
    <row r="2" spans="1:8" ht="15" x14ac:dyDescent="0.2">
      <c r="A2" s="19" t="s">
        <v>112</v>
      </c>
    </row>
    <row r="3" spans="1:8" ht="15" x14ac:dyDescent="0.2">
      <c r="A3" s="20" t="s">
        <v>116</v>
      </c>
    </row>
    <row r="6" spans="1:8" ht="15" x14ac:dyDescent="0.2">
      <c r="A6" s="2"/>
      <c r="B6" s="2"/>
      <c r="C6" s="2"/>
      <c r="D6" s="2"/>
      <c r="E6" s="2"/>
    </row>
    <row r="7" spans="1:8" ht="30" x14ac:dyDescent="0.2">
      <c r="A7" s="3" t="s">
        <v>9</v>
      </c>
      <c r="B7" s="4" t="s">
        <v>2</v>
      </c>
      <c r="C7" s="4" t="s">
        <v>6</v>
      </c>
      <c r="D7" s="11" t="s">
        <v>129</v>
      </c>
      <c r="E7" s="11" t="s">
        <v>130</v>
      </c>
    </row>
    <row r="8" spans="1:8" ht="15" x14ac:dyDescent="0.2">
      <c r="A8" s="2" t="s">
        <v>10</v>
      </c>
      <c r="B8" s="2" t="s">
        <v>23</v>
      </c>
      <c r="C8" s="7" t="s">
        <v>83</v>
      </c>
      <c r="D8" s="21">
        <v>174180.28</v>
      </c>
      <c r="E8" s="21">
        <v>180000</v>
      </c>
      <c r="H8" s="73"/>
    </row>
    <row r="9" spans="1:8" ht="15" x14ac:dyDescent="0.2">
      <c r="A9" s="2"/>
      <c r="B9" s="2"/>
      <c r="C9" s="7" t="s">
        <v>31</v>
      </c>
      <c r="D9" s="21">
        <f>115778.03+6955.4</f>
        <v>122733.43</v>
      </c>
      <c r="E9" s="21">
        <v>128000</v>
      </c>
    </row>
    <row r="10" spans="1:8" ht="15" x14ac:dyDescent="0.2">
      <c r="A10" s="2"/>
      <c r="B10" s="2"/>
      <c r="C10" s="7" t="s">
        <v>84</v>
      </c>
      <c r="D10" s="21"/>
      <c r="E10" s="21"/>
    </row>
    <row r="11" spans="1:8" ht="15" x14ac:dyDescent="0.2">
      <c r="A11" s="2"/>
      <c r="B11" s="2"/>
      <c r="C11" s="7" t="s">
        <v>32</v>
      </c>
      <c r="D11" s="21"/>
      <c r="E11" s="21"/>
    </row>
    <row r="12" spans="1:8" ht="15" x14ac:dyDescent="0.2">
      <c r="A12" s="2"/>
      <c r="B12" s="2"/>
      <c r="C12" s="7" t="s">
        <v>33</v>
      </c>
      <c r="D12" s="21"/>
      <c r="E12" s="21"/>
    </row>
    <row r="13" spans="1:8" ht="15" x14ac:dyDescent="0.2">
      <c r="A13" s="2"/>
      <c r="B13" s="2"/>
      <c r="C13" s="7" t="s">
        <v>34</v>
      </c>
      <c r="D13" s="21">
        <v>13957.15</v>
      </c>
      <c r="E13" s="21">
        <v>15000</v>
      </c>
    </row>
    <row r="14" spans="1:8" ht="15" x14ac:dyDescent="0.2">
      <c r="A14" s="2"/>
      <c r="B14" s="2"/>
      <c r="C14" s="7" t="s">
        <v>110</v>
      </c>
      <c r="D14" s="21">
        <f>15072.26+6561.09</f>
        <v>21633.35</v>
      </c>
      <c r="E14" s="21">
        <v>17000</v>
      </c>
    </row>
    <row r="15" spans="1:8" ht="15" x14ac:dyDescent="0.2">
      <c r="A15" s="2"/>
      <c r="B15" s="2"/>
      <c r="C15" s="7" t="s">
        <v>35</v>
      </c>
      <c r="D15" s="21"/>
      <c r="E15" s="21"/>
    </row>
    <row r="16" spans="1:8" ht="15" x14ac:dyDescent="0.2">
      <c r="A16" s="2"/>
      <c r="B16" s="2"/>
      <c r="C16" s="7" t="s">
        <v>5</v>
      </c>
      <c r="D16" s="21">
        <f>1481.75+371.14</f>
        <v>1852.8899999999999</v>
      </c>
      <c r="E16" s="21">
        <v>2000</v>
      </c>
    </row>
    <row r="17" spans="1:5" ht="15" x14ac:dyDescent="0.2">
      <c r="A17" s="2"/>
      <c r="B17" s="2"/>
      <c r="C17" s="7" t="s">
        <v>36</v>
      </c>
      <c r="D17" s="21"/>
      <c r="E17" s="21"/>
    </row>
    <row r="18" spans="1:5" ht="15" x14ac:dyDescent="0.2">
      <c r="A18" s="2"/>
      <c r="B18" s="5" t="s">
        <v>4</v>
      </c>
      <c r="C18" s="5"/>
      <c r="D18" s="47">
        <f>SUM(D8:D17)</f>
        <v>334357.09999999998</v>
      </c>
      <c r="E18" s="47">
        <f>SUM(E8:E17)</f>
        <v>342000</v>
      </c>
    </row>
    <row r="19" spans="1:5" ht="15" x14ac:dyDescent="0.2">
      <c r="A19" s="2"/>
      <c r="B19" s="2" t="s">
        <v>8</v>
      </c>
      <c r="C19" s="2" t="s">
        <v>18</v>
      </c>
      <c r="D19" s="21"/>
      <c r="E19" s="21"/>
    </row>
    <row r="20" spans="1:5" ht="15" x14ac:dyDescent="0.2">
      <c r="A20" s="2"/>
      <c r="B20" s="2"/>
      <c r="C20" s="2" t="s">
        <v>140</v>
      </c>
      <c r="D20" s="21">
        <f>(877798.16+2410247.14)+(66099.31)</f>
        <v>3354144.6100000003</v>
      </c>
      <c r="E20" s="21">
        <f>4300000-830000+306000</f>
        <v>3776000</v>
      </c>
    </row>
    <row r="21" spans="1:5" ht="15" x14ac:dyDescent="0.2">
      <c r="A21" s="2"/>
      <c r="B21" s="2"/>
      <c r="C21" s="2" t="s">
        <v>7</v>
      </c>
      <c r="D21" s="21"/>
      <c r="E21" s="21"/>
    </row>
    <row r="22" spans="1:5" ht="15" x14ac:dyDescent="0.2">
      <c r="A22" s="2"/>
      <c r="B22" s="2"/>
      <c r="C22" s="7" t="s">
        <v>95</v>
      </c>
      <c r="D22" s="21">
        <f>(26873.33+22490.78)+(0.04*848715.21)+(0.02*416734.36)+(0.85*110313.5)+(1*1925)</f>
        <v>187338.88059999997</v>
      </c>
      <c r="E22" s="21">
        <f>210000+90000</f>
        <v>300000</v>
      </c>
    </row>
    <row r="23" spans="1:5" ht="15" x14ac:dyDescent="0.2">
      <c r="A23" s="2"/>
      <c r="B23" s="2"/>
      <c r="C23" s="7" t="s">
        <v>96</v>
      </c>
      <c r="D23" s="21"/>
      <c r="E23" s="21">
        <v>350000</v>
      </c>
    </row>
    <row r="24" spans="1:5" ht="15" x14ac:dyDescent="0.2">
      <c r="A24" s="2"/>
      <c r="B24" s="2"/>
      <c r="C24" s="7" t="s">
        <v>97</v>
      </c>
      <c r="D24" s="21">
        <f>(0.06*848715.21)</f>
        <v>50922.912599999996</v>
      </c>
      <c r="E24" s="21">
        <v>175000</v>
      </c>
    </row>
    <row r="25" spans="1:5" ht="15" x14ac:dyDescent="0.2">
      <c r="A25" s="2"/>
      <c r="B25" s="2"/>
      <c r="C25" s="7" t="s">
        <v>98</v>
      </c>
      <c r="D25" s="21">
        <f>(0.48*848715.21)+(1*6647.6)</f>
        <v>414030.90079999994</v>
      </c>
      <c r="E25" s="21">
        <f>460000+100000</f>
        <v>560000</v>
      </c>
    </row>
    <row r="26" spans="1:5" ht="15" x14ac:dyDescent="0.2">
      <c r="A26" s="2"/>
      <c r="B26" s="2"/>
      <c r="C26" s="7" t="s">
        <v>99</v>
      </c>
      <c r="D26" s="21">
        <f>(0.2*848715.21)</f>
        <v>169743.04200000002</v>
      </c>
      <c r="E26" s="21">
        <v>250000</v>
      </c>
    </row>
    <row r="27" spans="1:5" ht="15" x14ac:dyDescent="0.2">
      <c r="A27" s="2"/>
      <c r="B27" s="2"/>
      <c r="C27" s="7" t="s">
        <v>100</v>
      </c>
      <c r="D27" s="21">
        <f>(0.09*848715.21)+(0.04*416734.36)+(0.15*110313.5)</f>
        <v>109600.76829999998</v>
      </c>
      <c r="E27" s="21">
        <f>130000+50000</f>
        <v>180000</v>
      </c>
    </row>
    <row r="28" spans="1:5" ht="15" x14ac:dyDescent="0.2">
      <c r="A28" s="2"/>
      <c r="B28" s="2"/>
      <c r="C28" s="7" t="s">
        <v>111</v>
      </c>
      <c r="D28" s="21">
        <f>(0.12*848715.21)+72681.61</f>
        <v>174527.43520000001</v>
      </c>
      <c r="E28" s="21">
        <v>200000</v>
      </c>
    </row>
    <row r="29" spans="1:5" ht="15" x14ac:dyDescent="0.2">
      <c r="A29" s="2"/>
      <c r="B29" s="2"/>
      <c r="C29" s="7" t="s">
        <v>101</v>
      </c>
      <c r="D29" s="21"/>
      <c r="E29" s="21"/>
    </row>
    <row r="30" spans="1:5" ht="15" x14ac:dyDescent="0.2">
      <c r="A30" s="2"/>
      <c r="B30" s="2"/>
      <c r="C30" s="7" t="s">
        <v>102</v>
      </c>
      <c r="D30" s="21">
        <f>(0.01*848715.21)</f>
        <v>8487.1520999999993</v>
      </c>
      <c r="E30" s="21">
        <v>30000</v>
      </c>
    </row>
    <row r="31" spans="1:5" ht="15" x14ac:dyDescent="0.25">
      <c r="A31" s="2"/>
      <c r="B31" s="2"/>
      <c r="C31" s="7" t="s">
        <v>103</v>
      </c>
      <c r="D31" s="21">
        <f>(0.94*416734.36)</f>
        <v>391730.29839999997</v>
      </c>
      <c r="E31" s="21">
        <v>650000</v>
      </c>
    </row>
    <row r="32" spans="1:5" ht="15" x14ac:dyDescent="0.25">
      <c r="A32" s="2"/>
      <c r="B32" s="2"/>
      <c r="C32" s="7" t="s">
        <v>20</v>
      </c>
      <c r="D32" s="21"/>
      <c r="E32" s="21"/>
    </row>
    <row r="33" spans="1:10" ht="15" x14ac:dyDescent="0.25">
      <c r="A33" s="2"/>
      <c r="B33" s="2"/>
      <c r="C33" s="6" t="s">
        <v>108</v>
      </c>
      <c r="D33" s="21">
        <v>9303146.9000000004</v>
      </c>
      <c r="E33" s="21">
        <v>9790000</v>
      </c>
    </row>
    <row r="34" spans="1:10" ht="15" x14ac:dyDescent="0.25">
      <c r="A34" s="2"/>
      <c r="B34" s="2"/>
      <c r="C34" s="2" t="s">
        <v>109</v>
      </c>
      <c r="D34" s="21"/>
      <c r="E34" s="21"/>
    </row>
    <row r="35" spans="1:10" ht="15" x14ac:dyDescent="0.25">
      <c r="A35" s="2"/>
      <c r="B35" s="5" t="s">
        <v>11</v>
      </c>
      <c r="C35" s="5"/>
      <c r="D35" s="47">
        <f>SUM(D19:D34)</f>
        <v>14163672.899999999</v>
      </c>
      <c r="E35" s="47">
        <f>SUM(E19:E34)</f>
        <v>16261000</v>
      </c>
      <c r="F35" s="74"/>
      <c r="J35" s="74"/>
    </row>
    <row r="36" spans="1:10" ht="15" x14ac:dyDescent="0.25">
      <c r="A36" s="4" t="str">
        <f>A8&amp;" Total"</f>
        <v>Residential Total</v>
      </c>
      <c r="B36" s="4"/>
      <c r="C36" s="4"/>
      <c r="D36" s="70">
        <f>D18+D35</f>
        <v>14498029.999999998</v>
      </c>
      <c r="E36" s="70">
        <f>E18+E35</f>
        <v>16603000</v>
      </c>
    </row>
    <row r="37" spans="1:10" ht="15" x14ac:dyDescent="0.25">
      <c r="A37" s="2"/>
      <c r="B37" s="2" t="s">
        <v>137</v>
      </c>
      <c r="C37" s="2" t="s">
        <v>19</v>
      </c>
      <c r="D37" s="21"/>
      <c r="E37" s="21"/>
    </row>
    <row r="38" spans="1:10" ht="15" x14ac:dyDescent="0.25">
      <c r="A38" s="8"/>
      <c r="B38" s="8"/>
      <c r="C38" s="8"/>
      <c r="D38" s="8"/>
      <c r="E38" s="8"/>
    </row>
    <row r="39" spans="1:10" ht="15" x14ac:dyDescent="0.25">
      <c r="A39" s="8" t="s">
        <v>21</v>
      </c>
      <c r="B39" s="8" t="s">
        <v>133</v>
      </c>
      <c r="C39" s="8"/>
      <c r="D39" s="8"/>
      <c r="E39" s="8"/>
    </row>
    <row r="40" spans="1:10" ht="15" x14ac:dyDescent="0.25">
      <c r="B40" s="16" t="s">
        <v>132</v>
      </c>
    </row>
    <row r="41" spans="1:10" x14ac:dyDescent="0.45">
      <c r="B41" s="16" t="s">
        <v>141</v>
      </c>
    </row>
  </sheetData>
  <pageMargins left="0" right="0" top="0" bottom="0" header="0.3" footer="0.3"/>
  <pageSetup scale="72" orientation="landscape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M41"/>
  <sheetViews>
    <sheetView zoomScale="90" zoomScaleNormal="90" workbookViewId="0">
      <selection activeCell="G34" sqref="G34"/>
    </sheetView>
  </sheetViews>
  <sheetFormatPr defaultColWidth="8.86328125" defaultRowHeight="14.25" x14ac:dyDescent="0.45"/>
  <cols>
    <col min="1" max="1" width="14.73046875" customWidth="1"/>
    <col min="2" max="2" width="33.1328125" customWidth="1"/>
    <col min="3" max="3" width="53.73046875" bestFit="1" customWidth="1"/>
    <col min="4" max="5" width="23.3984375" customWidth="1"/>
    <col min="7" max="7" width="10.86328125" bestFit="1" customWidth="1"/>
    <col min="9" max="9" width="12.86328125" bestFit="1" customWidth="1"/>
  </cols>
  <sheetData>
    <row r="1" spans="1:5" ht="15" x14ac:dyDescent="0.2">
      <c r="A1" s="19" t="str">
        <f>'Portfolio Summary'!A1</f>
        <v>BAY AREA REGIONAL ENERGY NETWORK (BAYREN)</v>
      </c>
    </row>
    <row r="2" spans="1:5" ht="15" x14ac:dyDescent="0.2">
      <c r="A2" s="19" t="s">
        <v>112</v>
      </c>
    </row>
    <row r="3" spans="1:5" ht="15" x14ac:dyDescent="0.2">
      <c r="A3" s="20" t="s">
        <v>117</v>
      </c>
    </row>
    <row r="6" spans="1:5" ht="15" x14ac:dyDescent="0.2">
      <c r="A6" s="2"/>
      <c r="B6" s="2"/>
      <c r="C6" s="2"/>
      <c r="D6" s="2"/>
      <c r="E6" s="2"/>
    </row>
    <row r="7" spans="1:5" ht="30" x14ac:dyDescent="0.2">
      <c r="A7" s="3" t="s">
        <v>9</v>
      </c>
      <c r="B7" s="4" t="s">
        <v>2</v>
      </c>
      <c r="C7" s="4" t="s">
        <v>6</v>
      </c>
      <c r="D7" s="11" t="s">
        <v>129</v>
      </c>
      <c r="E7" s="11" t="s">
        <v>130</v>
      </c>
    </row>
    <row r="8" spans="1:5" ht="15" x14ac:dyDescent="0.2">
      <c r="A8" s="2" t="s">
        <v>13</v>
      </c>
      <c r="B8" s="2" t="s">
        <v>23</v>
      </c>
      <c r="C8" s="7" t="s">
        <v>83</v>
      </c>
      <c r="D8" s="21">
        <v>5242.92</v>
      </c>
      <c r="E8" s="21">
        <v>15000</v>
      </c>
    </row>
    <row r="9" spans="1:5" ht="15" x14ac:dyDescent="0.2">
      <c r="A9" s="2"/>
      <c r="B9" s="2"/>
      <c r="C9" s="7" t="s">
        <v>31</v>
      </c>
      <c r="D9" s="21">
        <f>539.67+160.96</f>
        <v>700.63</v>
      </c>
      <c r="E9" s="21">
        <v>10000</v>
      </c>
    </row>
    <row r="10" spans="1:5" ht="15" x14ac:dyDescent="0.2">
      <c r="A10" s="2"/>
      <c r="B10" s="2"/>
      <c r="C10" s="7" t="s">
        <v>84</v>
      </c>
      <c r="D10" s="21"/>
      <c r="E10" s="21"/>
    </row>
    <row r="11" spans="1:5" ht="15" x14ac:dyDescent="0.2">
      <c r="A11" s="2"/>
      <c r="B11" s="2"/>
      <c r="C11" s="7" t="s">
        <v>32</v>
      </c>
      <c r="D11" s="21"/>
      <c r="E11" s="21"/>
    </row>
    <row r="12" spans="1:5" ht="15" x14ac:dyDescent="0.2">
      <c r="A12" s="2"/>
      <c r="B12" s="2"/>
      <c r="C12" s="7" t="s">
        <v>33</v>
      </c>
      <c r="D12" s="21"/>
      <c r="E12" s="21"/>
    </row>
    <row r="13" spans="1:5" ht="15" x14ac:dyDescent="0.2">
      <c r="A13" s="2"/>
      <c r="B13" s="2"/>
      <c r="C13" s="7" t="s">
        <v>34</v>
      </c>
      <c r="D13" s="21"/>
      <c r="E13" s="21"/>
    </row>
    <row r="14" spans="1:5" ht="15" x14ac:dyDescent="0.2">
      <c r="A14" s="2"/>
      <c r="B14" s="2"/>
      <c r="C14" s="7" t="s">
        <v>110</v>
      </c>
      <c r="D14" s="21">
        <f>4559.3+101.74</f>
        <v>4661.04</v>
      </c>
      <c r="E14" s="75">
        <v>5000</v>
      </c>
    </row>
    <row r="15" spans="1:5" ht="15" x14ac:dyDescent="0.2">
      <c r="A15" s="2"/>
      <c r="B15" s="2"/>
      <c r="C15" s="7" t="s">
        <v>35</v>
      </c>
      <c r="D15" s="21"/>
      <c r="E15" s="21"/>
    </row>
    <row r="16" spans="1:5" ht="15" x14ac:dyDescent="0.2">
      <c r="A16" s="2"/>
      <c r="B16" s="2"/>
      <c r="C16" s="7" t="s">
        <v>5</v>
      </c>
      <c r="D16" s="21"/>
      <c r="E16" s="21">
        <v>4000</v>
      </c>
    </row>
    <row r="17" spans="1:13" ht="15" x14ac:dyDescent="0.2">
      <c r="A17" s="2"/>
      <c r="B17" s="2"/>
      <c r="C17" s="7" t="s">
        <v>36</v>
      </c>
      <c r="D17" s="21"/>
      <c r="E17" s="21"/>
    </row>
    <row r="18" spans="1:13" ht="15" x14ac:dyDescent="0.2">
      <c r="A18" s="2"/>
      <c r="B18" s="5" t="s">
        <v>4</v>
      </c>
      <c r="C18" s="5"/>
      <c r="D18" s="47">
        <f>SUM(D8:D17)</f>
        <v>10604.59</v>
      </c>
      <c r="E18" s="47">
        <f>SUM(E8:E17)</f>
        <v>34000</v>
      </c>
      <c r="M18" t="s">
        <v>135</v>
      </c>
    </row>
    <row r="19" spans="1:13" x14ac:dyDescent="0.45">
      <c r="A19" s="2"/>
      <c r="B19" s="2" t="s">
        <v>8</v>
      </c>
      <c r="C19" s="2" t="s">
        <v>18</v>
      </c>
      <c r="D19" s="21"/>
      <c r="E19" s="21"/>
      <c r="G19" s="76"/>
    </row>
    <row r="20" spans="1:13" x14ac:dyDescent="0.45">
      <c r="A20" s="2"/>
      <c r="B20" s="2"/>
      <c r="C20" s="2" t="s">
        <v>104</v>
      </c>
      <c r="D20" s="21">
        <v>77133.100000000006</v>
      </c>
      <c r="E20" s="21">
        <f>870000+150000+(604000-414000)+8*5000+30000+190000+90000</f>
        <v>1560000</v>
      </c>
      <c r="G20" s="76"/>
    </row>
    <row r="21" spans="1:13" x14ac:dyDescent="0.45">
      <c r="A21" s="2"/>
      <c r="B21" s="2"/>
      <c r="C21" s="2" t="s">
        <v>7</v>
      </c>
      <c r="D21" s="21"/>
      <c r="E21" s="21"/>
      <c r="G21" s="76"/>
    </row>
    <row r="22" spans="1:13" x14ac:dyDescent="0.45">
      <c r="A22" s="2"/>
      <c r="B22" s="2"/>
      <c r="C22" s="7" t="s">
        <v>95</v>
      </c>
      <c r="D22" s="21">
        <f>(4345)+(0.07*23264.48)+(0.85*5349.5)</f>
        <v>10520.588599999999</v>
      </c>
      <c r="E22" s="21">
        <f>10000</f>
        <v>10000</v>
      </c>
      <c r="G22" s="76"/>
    </row>
    <row r="23" spans="1:13" x14ac:dyDescent="0.45">
      <c r="A23" s="2"/>
      <c r="B23" s="2"/>
      <c r="C23" s="7" t="s">
        <v>96</v>
      </c>
      <c r="D23" s="21"/>
      <c r="E23" s="21">
        <f>82000+30000</f>
        <v>112000</v>
      </c>
      <c r="G23" s="76"/>
    </row>
    <row r="24" spans="1:13" x14ac:dyDescent="0.45">
      <c r="A24" s="2"/>
      <c r="B24" s="2"/>
      <c r="C24" s="7" t="s">
        <v>97</v>
      </c>
      <c r="D24" s="21"/>
      <c r="E24" s="21"/>
      <c r="G24" s="76"/>
    </row>
    <row r="25" spans="1:13" x14ac:dyDescent="0.45">
      <c r="A25" s="2"/>
      <c r="B25" s="2"/>
      <c r="C25" s="7" t="s">
        <v>98</v>
      </c>
      <c r="D25" s="21"/>
      <c r="E25" s="21">
        <v>40000</v>
      </c>
      <c r="G25" s="76"/>
      <c r="I25" s="76"/>
    </row>
    <row r="26" spans="1:13" x14ac:dyDescent="0.45">
      <c r="A26" s="2"/>
      <c r="B26" s="2"/>
      <c r="C26" s="7" t="s">
        <v>99</v>
      </c>
      <c r="D26" s="21"/>
      <c r="E26" s="21"/>
      <c r="G26" s="76"/>
    </row>
    <row r="27" spans="1:13" x14ac:dyDescent="0.45">
      <c r="A27" s="2"/>
      <c r="B27" s="2"/>
      <c r="C27" s="7" t="s">
        <v>100</v>
      </c>
      <c r="D27" s="21">
        <f>(0.15*5349.5)</f>
        <v>802.42499999999995</v>
      </c>
      <c r="E27" s="21">
        <v>20000</v>
      </c>
      <c r="G27" s="76"/>
    </row>
    <row r="28" spans="1:13" x14ac:dyDescent="0.45">
      <c r="A28" s="2"/>
      <c r="B28" s="2"/>
      <c r="C28" s="7" t="s">
        <v>111</v>
      </c>
      <c r="D28" s="21">
        <f>(0.93*23264.48)+(1*1734.39)</f>
        <v>23370.356400000001</v>
      </c>
      <c r="E28" s="21">
        <f>93000+250000</f>
        <v>343000</v>
      </c>
      <c r="G28" s="76"/>
    </row>
    <row r="29" spans="1:13" x14ac:dyDescent="0.45">
      <c r="A29" s="2"/>
      <c r="B29" s="2"/>
      <c r="C29" s="7" t="s">
        <v>101</v>
      </c>
      <c r="D29" s="21"/>
      <c r="E29" s="21"/>
      <c r="G29" s="76"/>
    </row>
    <row r="30" spans="1:13" x14ac:dyDescent="0.45">
      <c r="A30" s="2"/>
      <c r="B30" s="2"/>
      <c r="C30" s="7" t="s">
        <v>102</v>
      </c>
      <c r="D30" s="21"/>
      <c r="E30" s="21"/>
      <c r="G30" s="76"/>
    </row>
    <row r="31" spans="1:13" x14ac:dyDescent="0.45">
      <c r="A31" s="2"/>
      <c r="B31" s="2"/>
      <c r="C31" s="7" t="s">
        <v>103</v>
      </c>
      <c r="D31" s="21"/>
      <c r="E31" s="21">
        <f>414000+10000</f>
        <v>424000</v>
      </c>
      <c r="G31" s="76"/>
    </row>
    <row r="32" spans="1:13" x14ac:dyDescent="0.45">
      <c r="A32" s="2"/>
      <c r="B32" s="2"/>
      <c r="C32" s="7" t="s">
        <v>20</v>
      </c>
      <c r="D32" s="21">
        <v>0</v>
      </c>
      <c r="E32" s="21"/>
      <c r="G32" s="76"/>
    </row>
    <row r="33" spans="1:9" x14ac:dyDescent="0.45">
      <c r="A33" s="2"/>
      <c r="B33" s="2"/>
      <c r="C33" s="6" t="s">
        <v>108</v>
      </c>
      <c r="D33" s="21">
        <v>0</v>
      </c>
      <c r="E33" s="21">
        <v>500000</v>
      </c>
      <c r="G33" s="76"/>
    </row>
    <row r="34" spans="1:9" x14ac:dyDescent="0.45">
      <c r="A34" s="2"/>
      <c r="B34" s="2"/>
      <c r="C34" s="2" t="s">
        <v>109</v>
      </c>
      <c r="D34" s="21">
        <v>0</v>
      </c>
      <c r="E34" s="21"/>
      <c r="G34" s="76"/>
      <c r="I34" s="74"/>
    </row>
    <row r="35" spans="1:9" x14ac:dyDescent="0.45">
      <c r="A35" s="2"/>
      <c r="B35" s="5" t="s">
        <v>11</v>
      </c>
      <c r="C35" s="5"/>
      <c r="D35" s="47">
        <f>SUM(D19:D34)</f>
        <v>111826.47000000002</v>
      </c>
      <c r="E35" s="47">
        <f>SUM(E19:E34)</f>
        <v>3009000</v>
      </c>
      <c r="G35" s="76"/>
      <c r="I35" s="74"/>
    </row>
    <row r="36" spans="1:9" ht="15" x14ac:dyDescent="0.25">
      <c r="A36" s="4" t="str">
        <f>A8&amp;" Total"</f>
        <v>Commercial Total</v>
      </c>
      <c r="B36" s="4"/>
      <c r="C36" s="4"/>
      <c r="D36" s="70">
        <f>D35+D18</f>
        <v>122431.06000000001</v>
      </c>
      <c r="E36" s="70">
        <f>E35+E18</f>
        <v>3043000</v>
      </c>
    </row>
    <row r="37" spans="1:9" ht="15" x14ac:dyDescent="0.25">
      <c r="A37" s="2"/>
      <c r="B37" s="2" t="s">
        <v>24</v>
      </c>
      <c r="C37" s="2" t="s">
        <v>19</v>
      </c>
      <c r="D37" s="21"/>
      <c r="E37" s="21"/>
    </row>
    <row r="38" spans="1:9" ht="15" x14ac:dyDescent="0.25">
      <c r="A38" s="8"/>
      <c r="B38" s="8"/>
      <c r="C38" s="8"/>
      <c r="D38" s="8"/>
      <c r="E38" s="8"/>
    </row>
    <row r="39" spans="1:9" ht="15" x14ac:dyDescent="0.25">
      <c r="A39" s="8" t="s">
        <v>21</v>
      </c>
      <c r="B39" s="8" t="s">
        <v>25</v>
      </c>
      <c r="C39" s="8"/>
      <c r="D39" s="8"/>
      <c r="E39" s="8"/>
    </row>
    <row r="40" spans="1:9" ht="15" x14ac:dyDescent="0.25">
      <c r="A40" s="8"/>
      <c r="B40" s="17" t="s">
        <v>26</v>
      </c>
    </row>
    <row r="41" spans="1:9" ht="15" x14ac:dyDescent="0.25">
      <c r="B41" s="16" t="s">
        <v>105</v>
      </c>
    </row>
  </sheetData>
  <pageMargins left="0" right="0" top="0" bottom="0" header="0.3" footer="0.3"/>
  <pageSetup scale="72" orientation="landscape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G41"/>
  <sheetViews>
    <sheetView zoomScale="90" zoomScaleNormal="90" workbookViewId="0">
      <selection activeCell="G26" sqref="G26"/>
    </sheetView>
  </sheetViews>
  <sheetFormatPr defaultColWidth="8.86328125" defaultRowHeight="14.25" x14ac:dyDescent="0.45"/>
  <cols>
    <col min="1" max="1" width="14.73046875" customWidth="1"/>
    <col min="2" max="2" width="33.1328125" customWidth="1"/>
    <col min="3" max="3" width="53.73046875" bestFit="1" customWidth="1"/>
    <col min="4" max="5" width="23.3984375" customWidth="1"/>
    <col min="7" max="7" width="11.3984375" bestFit="1" customWidth="1"/>
  </cols>
  <sheetData>
    <row r="1" spans="1:5" ht="15" x14ac:dyDescent="0.2">
      <c r="A1" s="19" t="str">
        <f>'Portfolio Summary'!A1</f>
        <v>BAY AREA REGIONAL ENERGY NETWORK (BAYREN)</v>
      </c>
    </row>
    <row r="2" spans="1:5" ht="15" x14ac:dyDescent="0.2">
      <c r="A2" s="19" t="s">
        <v>112</v>
      </c>
    </row>
    <row r="3" spans="1:5" ht="15" x14ac:dyDescent="0.2">
      <c r="A3" s="20" t="s">
        <v>120</v>
      </c>
    </row>
    <row r="6" spans="1:5" ht="15" x14ac:dyDescent="0.2">
      <c r="A6" s="2"/>
      <c r="B6" s="2"/>
      <c r="C6" s="2"/>
      <c r="D6" s="2"/>
      <c r="E6" s="2"/>
    </row>
    <row r="7" spans="1:5" ht="30" x14ac:dyDescent="0.2">
      <c r="A7" s="3" t="s">
        <v>9</v>
      </c>
      <c r="B7" s="4" t="s">
        <v>2</v>
      </c>
      <c r="C7" s="4" t="s">
        <v>6</v>
      </c>
      <c r="D7" s="11" t="s">
        <v>129</v>
      </c>
      <c r="E7" s="11" t="s">
        <v>130</v>
      </c>
    </row>
    <row r="8" spans="1:5" ht="15" x14ac:dyDescent="0.2">
      <c r="A8" s="2" t="s">
        <v>123</v>
      </c>
      <c r="B8" s="2" t="s">
        <v>23</v>
      </c>
      <c r="C8" s="7" t="s">
        <v>83</v>
      </c>
      <c r="D8" s="21"/>
      <c r="E8" s="21">
        <v>10000</v>
      </c>
    </row>
    <row r="9" spans="1:5" ht="15" x14ac:dyDescent="0.2">
      <c r="A9" s="2"/>
      <c r="B9" s="2"/>
      <c r="C9" s="7" t="s">
        <v>31</v>
      </c>
      <c r="D9" s="21"/>
      <c r="E9" s="21">
        <v>5000</v>
      </c>
    </row>
    <row r="10" spans="1:5" ht="15" x14ac:dyDescent="0.2">
      <c r="A10" s="2"/>
      <c r="B10" s="2"/>
      <c r="C10" s="7" t="s">
        <v>84</v>
      </c>
      <c r="D10" s="21"/>
      <c r="E10" s="21"/>
    </row>
    <row r="11" spans="1:5" ht="15" x14ac:dyDescent="0.2">
      <c r="A11" s="2"/>
      <c r="B11" s="2"/>
      <c r="C11" s="7" t="s">
        <v>32</v>
      </c>
      <c r="D11" s="21"/>
      <c r="E11" s="21"/>
    </row>
    <row r="12" spans="1:5" ht="15" x14ac:dyDescent="0.2">
      <c r="A12" s="2"/>
      <c r="B12" s="2"/>
      <c r="C12" s="7" t="s">
        <v>33</v>
      </c>
      <c r="D12" s="21"/>
      <c r="E12" s="21"/>
    </row>
    <row r="13" spans="1:5" ht="15" x14ac:dyDescent="0.2">
      <c r="A13" s="2"/>
      <c r="B13" s="2"/>
      <c r="C13" s="7" t="s">
        <v>34</v>
      </c>
      <c r="D13" s="21"/>
      <c r="E13" s="21"/>
    </row>
    <row r="14" spans="1:5" ht="15" x14ac:dyDescent="0.2">
      <c r="A14" s="2"/>
      <c r="B14" s="2"/>
      <c r="C14" s="7" t="s">
        <v>110</v>
      </c>
      <c r="D14" s="21"/>
      <c r="E14" s="21">
        <v>5000</v>
      </c>
    </row>
    <row r="15" spans="1:5" ht="15" x14ac:dyDescent="0.2">
      <c r="A15" s="2"/>
      <c r="B15" s="2"/>
      <c r="C15" s="7" t="s">
        <v>35</v>
      </c>
      <c r="D15" s="21"/>
      <c r="E15" s="21"/>
    </row>
    <row r="16" spans="1:5" ht="15" x14ac:dyDescent="0.2">
      <c r="A16" s="2"/>
      <c r="B16" s="2"/>
      <c r="C16" s="7" t="s">
        <v>5</v>
      </c>
      <c r="D16" s="21"/>
      <c r="E16" s="21"/>
    </row>
    <row r="17" spans="1:5" ht="15" x14ac:dyDescent="0.2">
      <c r="A17" s="2"/>
      <c r="B17" s="2"/>
      <c r="C17" s="7" t="s">
        <v>36</v>
      </c>
      <c r="D17" s="21"/>
      <c r="E17" s="21"/>
    </row>
    <row r="18" spans="1:5" ht="15" x14ac:dyDescent="0.2">
      <c r="A18" s="2"/>
      <c r="B18" s="5" t="s">
        <v>4</v>
      </c>
      <c r="C18" s="5"/>
      <c r="D18" s="47">
        <f>SUM(D8:D17)</f>
        <v>0</v>
      </c>
      <c r="E18" s="47">
        <f>SUM(E8:E17)</f>
        <v>20000</v>
      </c>
    </row>
    <row r="19" spans="1:5" ht="15" x14ac:dyDescent="0.2">
      <c r="A19" s="2"/>
      <c r="B19" s="2" t="s">
        <v>8</v>
      </c>
      <c r="C19" s="2" t="s">
        <v>18</v>
      </c>
      <c r="D19" s="21"/>
      <c r="E19" s="21"/>
    </row>
    <row r="20" spans="1:5" ht="15" x14ac:dyDescent="0.2">
      <c r="A20" s="2"/>
      <c r="B20" s="2"/>
      <c r="C20" s="2" t="s">
        <v>104</v>
      </c>
      <c r="D20" s="21"/>
      <c r="E20" s="21">
        <f>90000+30000</f>
        <v>120000</v>
      </c>
    </row>
    <row r="21" spans="1:5" ht="15" x14ac:dyDescent="0.2">
      <c r="A21" s="2"/>
      <c r="B21" s="2"/>
      <c r="C21" s="2" t="s">
        <v>7</v>
      </c>
      <c r="D21" s="21"/>
      <c r="E21" s="21"/>
    </row>
    <row r="22" spans="1:5" ht="15" x14ac:dyDescent="0.2">
      <c r="A22" s="2"/>
      <c r="B22" s="2"/>
      <c r="C22" s="7" t="s">
        <v>95</v>
      </c>
      <c r="D22" s="21"/>
      <c r="E22" s="21">
        <f>100000</f>
        <v>100000</v>
      </c>
    </row>
    <row r="23" spans="1:5" ht="15" x14ac:dyDescent="0.2">
      <c r="A23" s="2"/>
      <c r="B23" s="2"/>
      <c r="C23" s="7" t="s">
        <v>96</v>
      </c>
      <c r="D23" s="21"/>
      <c r="E23" s="21">
        <f>108000+20000</f>
        <v>128000</v>
      </c>
    </row>
    <row r="24" spans="1:5" ht="15" x14ac:dyDescent="0.2">
      <c r="A24" s="2"/>
      <c r="B24" s="2"/>
      <c r="C24" s="7" t="s">
        <v>97</v>
      </c>
      <c r="D24" s="21"/>
      <c r="E24" s="21">
        <v>100000</v>
      </c>
    </row>
    <row r="25" spans="1:5" ht="15" x14ac:dyDescent="0.2">
      <c r="A25" s="2"/>
      <c r="B25" s="2"/>
      <c r="C25" s="7" t="s">
        <v>98</v>
      </c>
      <c r="D25" s="21"/>
      <c r="E25" s="21"/>
    </row>
    <row r="26" spans="1:5" ht="15" x14ac:dyDescent="0.2">
      <c r="A26" s="2"/>
      <c r="B26" s="2"/>
      <c r="C26" s="7" t="s">
        <v>99</v>
      </c>
      <c r="D26" s="21"/>
      <c r="E26" s="21"/>
    </row>
    <row r="27" spans="1:5" ht="15" x14ac:dyDescent="0.2">
      <c r="A27" s="2"/>
      <c r="B27" s="2"/>
      <c r="C27" s="7" t="s">
        <v>100</v>
      </c>
      <c r="D27" s="21"/>
      <c r="E27" s="21">
        <f>10000</f>
        <v>10000</v>
      </c>
    </row>
    <row r="28" spans="1:5" ht="15" x14ac:dyDescent="0.2">
      <c r="A28" s="2"/>
      <c r="B28" s="2"/>
      <c r="C28" s="7" t="s">
        <v>111</v>
      </c>
      <c r="D28" s="21"/>
      <c r="E28" s="21">
        <v>20000</v>
      </c>
    </row>
    <row r="29" spans="1:5" ht="15" x14ac:dyDescent="0.2">
      <c r="A29" s="2"/>
      <c r="B29" s="2"/>
      <c r="C29" s="7" t="s">
        <v>101</v>
      </c>
      <c r="D29" s="21"/>
      <c r="E29" s="21"/>
    </row>
    <row r="30" spans="1:5" ht="15" x14ac:dyDescent="0.2">
      <c r="A30" s="2"/>
      <c r="B30" s="2"/>
      <c r="C30" s="7" t="s">
        <v>102</v>
      </c>
      <c r="D30" s="21"/>
      <c r="E30" s="21">
        <v>2000</v>
      </c>
    </row>
    <row r="31" spans="1:5" ht="15" x14ac:dyDescent="0.2">
      <c r="A31" s="2"/>
      <c r="B31" s="2"/>
      <c r="C31" s="7" t="s">
        <v>103</v>
      </c>
      <c r="D31" s="21"/>
      <c r="E31" s="21"/>
    </row>
    <row r="32" spans="1:5" ht="15" x14ac:dyDescent="0.2">
      <c r="A32" s="2"/>
      <c r="B32" s="2"/>
      <c r="C32" s="7" t="s">
        <v>20</v>
      </c>
      <c r="D32" s="21"/>
      <c r="E32" s="21">
        <v>0</v>
      </c>
    </row>
    <row r="33" spans="1:7" ht="15" x14ac:dyDescent="0.2">
      <c r="A33" s="2"/>
      <c r="B33" s="2"/>
      <c r="C33" s="6" t="s">
        <v>108</v>
      </c>
      <c r="D33" s="21"/>
      <c r="E33" s="21">
        <v>0</v>
      </c>
    </row>
    <row r="34" spans="1:7" ht="15" x14ac:dyDescent="0.25">
      <c r="A34" s="2"/>
      <c r="B34" s="2"/>
      <c r="C34" s="2" t="s">
        <v>109</v>
      </c>
      <c r="D34" s="21"/>
      <c r="E34" s="21">
        <v>0</v>
      </c>
      <c r="G34" s="74"/>
    </row>
    <row r="35" spans="1:7" ht="15" x14ac:dyDescent="0.25">
      <c r="A35" s="2"/>
      <c r="B35" s="5" t="s">
        <v>11</v>
      </c>
      <c r="C35" s="5"/>
      <c r="D35" s="47">
        <f>SUM(D19:D34)</f>
        <v>0</v>
      </c>
      <c r="E35" s="47">
        <f>SUM(E19:E34)</f>
        <v>480000</v>
      </c>
    </row>
    <row r="36" spans="1:7" ht="15" x14ac:dyDescent="0.25">
      <c r="A36" s="4" t="str">
        <f>A8&amp;" Total"</f>
        <v>Public Sector Total</v>
      </c>
      <c r="B36" s="4"/>
      <c r="C36" s="4"/>
      <c r="D36" s="70">
        <f>D35+D18</f>
        <v>0</v>
      </c>
      <c r="E36" s="70">
        <f>E35+E18</f>
        <v>500000</v>
      </c>
    </row>
    <row r="37" spans="1:7" ht="15" x14ac:dyDescent="0.25">
      <c r="A37" s="2"/>
      <c r="B37" s="2" t="s">
        <v>24</v>
      </c>
      <c r="C37" s="2" t="s">
        <v>19</v>
      </c>
      <c r="D37" s="21"/>
      <c r="E37" s="21"/>
    </row>
    <row r="38" spans="1:7" ht="15" x14ac:dyDescent="0.25">
      <c r="A38" s="8"/>
      <c r="B38" s="8"/>
      <c r="C38" s="8"/>
      <c r="D38" s="8"/>
      <c r="E38" s="8"/>
    </row>
    <row r="39" spans="1:7" ht="15" x14ac:dyDescent="0.25">
      <c r="A39" s="8" t="s">
        <v>21</v>
      </c>
      <c r="B39" s="8" t="s">
        <v>25</v>
      </c>
      <c r="C39" s="8"/>
      <c r="D39" s="8"/>
      <c r="E39" s="8"/>
    </row>
    <row r="40" spans="1:7" ht="15" x14ac:dyDescent="0.25">
      <c r="A40" s="8"/>
      <c r="B40" s="17" t="s">
        <v>26</v>
      </c>
    </row>
    <row r="41" spans="1:7" ht="15" x14ac:dyDescent="0.25">
      <c r="B41" s="16" t="s">
        <v>105</v>
      </c>
    </row>
  </sheetData>
  <pageMargins left="0" right="0" top="0" bottom="0" header="0.3" footer="0.3"/>
  <pageSetup scale="72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I41"/>
  <sheetViews>
    <sheetView zoomScale="90" zoomScaleNormal="90" workbookViewId="0">
      <selection activeCell="G25" sqref="G25"/>
    </sheetView>
  </sheetViews>
  <sheetFormatPr defaultColWidth="8.86328125" defaultRowHeight="14.25" x14ac:dyDescent="0.45"/>
  <cols>
    <col min="1" max="1" width="14.73046875" customWidth="1"/>
    <col min="2" max="2" width="33.1328125" customWidth="1"/>
    <col min="3" max="3" width="53.73046875" bestFit="1" customWidth="1"/>
    <col min="4" max="5" width="23.3984375" customWidth="1"/>
    <col min="6" max="6" width="10" bestFit="1" customWidth="1"/>
    <col min="7" max="8" width="15" bestFit="1" customWidth="1"/>
    <col min="9" max="9" width="12.86328125" bestFit="1" customWidth="1"/>
  </cols>
  <sheetData>
    <row r="1" spans="1:8" ht="15" x14ac:dyDescent="0.2">
      <c r="A1" s="19" t="str">
        <f>'Portfolio Summary'!A1</f>
        <v>BAY AREA REGIONAL ENERGY NETWORK (BAYREN)</v>
      </c>
    </row>
    <row r="2" spans="1:8" ht="15" x14ac:dyDescent="0.2">
      <c r="A2" s="19" t="s">
        <v>112</v>
      </c>
    </row>
    <row r="3" spans="1:8" ht="15" x14ac:dyDescent="0.2">
      <c r="A3" s="20" t="s">
        <v>121</v>
      </c>
    </row>
    <row r="6" spans="1:8" ht="15" x14ac:dyDescent="0.2">
      <c r="A6" s="2"/>
      <c r="B6" s="2"/>
      <c r="C6" s="2"/>
      <c r="D6" s="2"/>
      <c r="E6" s="2"/>
      <c r="G6" s="16"/>
      <c r="H6" s="16"/>
    </row>
    <row r="7" spans="1:8" ht="30" x14ac:dyDescent="0.2">
      <c r="A7" s="3" t="s">
        <v>9</v>
      </c>
      <c r="B7" s="4" t="s">
        <v>2</v>
      </c>
      <c r="C7" s="4" t="s">
        <v>6</v>
      </c>
      <c r="D7" s="11" t="s">
        <v>129</v>
      </c>
      <c r="E7" s="11" t="s">
        <v>130</v>
      </c>
      <c r="G7" s="16"/>
      <c r="H7" s="16"/>
    </row>
    <row r="8" spans="1:8" ht="15" x14ac:dyDescent="0.2">
      <c r="A8" s="2" t="s">
        <v>124</v>
      </c>
      <c r="B8" s="2" t="s">
        <v>23</v>
      </c>
      <c r="C8" s="7" t="s">
        <v>83</v>
      </c>
      <c r="D8" s="21">
        <v>69502.740000000005</v>
      </c>
      <c r="E8" s="21">
        <f>14000+12500</f>
        <v>26500</v>
      </c>
      <c r="G8" s="79"/>
      <c r="H8" s="79"/>
    </row>
    <row r="9" spans="1:8" ht="15" x14ac:dyDescent="0.2">
      <c r="A9" s="2"/>
      <c r="B9" s="2"/>
      <c r="C9" s="7" t="s">
        <v>31</v>
      </c>
      <c r="D9" s="21">
        <f>58640.96+1169.39</f>
        <v>59810.35</v>
      </c>
      <c r="E9" s="21">
        <f>238000+212500</f>
        <v>450500</v>
      </c>
      <c r="G9" s="79"/>
      <c r="H9" s="79"/>
    </row>
    <row r="10" spans="1:8" ht="15" x14ac:dyDescent="0.2">
      <c r="A10" s="2"/>
      <c r="B10" s="2"/>
      <c r="C10" s="7" t="s">
        <v>84</v>
      </c>
      <c r="D10" s="21"/>
      <c r="E10" s="21"/>
      <c r="G10" s="79"/>
      <c r="H10" s="79"/>
    </row>
    <row r="11" spans="1:8" ht="15" x14ac:dyDescent="0.2">
      <c r="A11" s="2"/>
      <c r="B11" s="2"/>
      <c r="C11" s="7" t="s">
        <v>32</v>
      </c>
      <c r="D11" s="21"/>
      <c r="E11" s="21"/>
      <c r="G11" s="79"/>
      <c r="H11" s="79"/>
    </row>
    <row r="12" spans="1:8" ht="15" x14ac:dyDescent="0.2">
      <c r="A12" s="2"/>
      <c r="B12" s="2"/>
      <c r="C12" s="7" t="s">
        <v>33</v>
      </c>
      <c r="D12" s="21"/>
      <c r="E12" s="21"/>
      <c r="G12" s="79"/>
      <c r="H12" s="79"/>
    </row>
    <row r="13" spans="1:8" ht="15" x14ac:dyDescent="0.2">
      <c r="A13" s="2"/>
      <c r="B13" s="2"/>
      <c r="C13" s="7" t="s">
        <v>34</v>
      </c>
      <c r="D13" s="21">
        <v>6564.01</v>
      </c>
      <c r="E13" s="21"/>
      <c r="G13" s="79"/>
      <c r="H13" s="79"/>
    </row>
    <row r="14" spans="1:8" ht="15" x14ac:dyDescent="0.2">
      <c r="A14" s="2"/>
      <c r="B14" s="2"/>
      <c r="C14" s="7" t="s">
        <v>110</v>
      </c>
      <c r="D14" s="21">
        <v>4242.21</v>
      </c>
      <c r="E14" s="21">
        <f>28000+25000</f>
        <v>53000</v>
      </c>
      <c r="G14" s="79"/>
      <c r="H14" s="79"/>
    </row>
    <row r="15" spans="1:8" ht="15" x14ac:dyDescent="0.2">
      <c r="A15" s="2"/>
      <c r="B15" s="2"/>
      <c r="C15" s="7" t="s">
        <v>35</v>
      </c>
      <c r="D15" s="21"/>
      <c r="E15" s="21"/>
      <c r="G15" s="79"/>
      <c r="H15" s="79"/>
    </row>
    <row r="16" spans="1:8" ht="15" x14ac:dyDescent="0.2">
      <c r="A16" s="2"/>
      <c r="B16" s="2"/>
      <c r="C16" s="7" t="s">
        <v>5</v>
      </c>
      <c r="D16" s="21">
        <f>0+354.52</f>
        <v>354.52</v>
      </c>
      <c r="E16" s="21"/>
      <c r="G16" s="79"/>
      <c r="H16" s="79"/>
    </row>
    <row r="17" spans="1:8" ht="15" x14ac:dyDescent="0.2">
      <c r="A17" s="2"/>
      <c r="B17" s="2"/>
      <c r="C17" s="7" t="s">
        <v>36</v>
      </c>
      <c r="D17" s="21"/>
      <c r="E17" s="21"/>
      <c r="G17" s="79"/>
      <c r="H17" s="79"/>
    </row>
    <row r="18" spans="1:8" ht="15" x14ac:dyDescent="0.2">
      <c r="A18" s="2"/>
      <c r="B18" s="5" t="s">
        <v>4</v>
      </c>
      <c r="C18" s="5"/>
      <c r="D18" s="47">
        <f>SUM(D8:D17)</f>
        <v>140473.82999999999</v>
      </c>
      <c r="E18" s="47">
        <f>SUM(E8:E17)</f>
        <v>530000</v>
      </c>
      <c r="G18" s="80"/>
      <c r="H18" s="80"/>
    </row>
    <row r="19" spans="1:8" ht="15" x14ac:dyDescent="0.2">
      <c r="A19" s="2"/>
      <c r="B19" s="2" t="s">
        <v>8</v>
      </c>
      <c r="C19" s="2" t="s">
        <v>18</v>
      </c>
      <c r="D19" s="21"/>
      <c r="E19" s="21"/>
      <c r="G19" s="79"/>
      <c r="H19" s="79"/>
    </row>
    <row r="20" spans="1:8" ht="15" x14ac:dyDescent="0.2">
      <c r="A20" s="2"/>
      <c r="B20" s="2"/>
      <c r="C20" s="2" t="s">
        <v>104</v>
      </c>
      <c r="D20" s="21">
        <v>827249.61</v>
      </c>
      <c r="E20" s="21">
        <f>761000+600000+50000</f>
        <v>1411000</v>
      </c>
      <c r="G20" s="79"/>
      <c r="H20" s="79"/>
    </row>
    <row r="21" spans="1:8" ht="15" x14ac:dyDescent="0.2">
      <c r="A21" s="2"/>
      <c r="B21" s="2"/>
      <c r="C21" s="2" t="s">
        <v>7</v>
      </c>
      <c r="D21" s="21"/>
      <c r="E21" s="21"/>
      <c r="G21" s="79"/>
      <c r="H21" s="79"/>
    </row>
    <row r="22" spans="1:8" ht="15" x14ac:dyDescent="0.2">
      <c r="A22" s="2"/>
      <c r="B22" s="2"/>
      <c r="C22" s="7" t="s">
        <v>95</v>
      </c>
      <c r="D22" s="21">
        <f>(21325.31-1925)+(0.85*875112.88)</f>
        <v>763246.25800000003</v>
      </c>
      <c r="E22" s="21">
        <f>0+100000-20000</f>
        <v>80000</v>
      </c>
      <c r="G22" s="79"/>
      <c r="H22" s="79"/>
    </row>
    <row r="23" spans="1:8" ht="15" x14ac:dyDescent="0.2">
      <c r="A23" s="2"/>
      <c r="B23" s="2"/>
      <c r="C23" s="7" t="s">
        <v>96</v>
      </c>
      <c r="D23" s="21"/>
      <c r="E23" s="21">
        <f>0+804000+31000</f>
        <v>835000</v>
      </c>
      <c r="G23" s="79"/>
      <c r="H23" s="79"/>
    </row>
    <row r="24" spans="1:8" ht="15" x14ac:dyDescent="0.2">
      <c r="A24" s="2"/>
      <c r="B24" s="2"/>
      <c r="C24" s="7" t="s">
        <v>97</v>
      </c>
      <c r="D24" s="21"/>
      <c r="E24" s="21"/>
      <c r="G24" s="79"/>
      <c r="H24" s="79"/>
    </row>
    <row r="25" spans="1:8" ht="15" x14ac:dyDescent="0.2">
      <c r="A25" s="2"/>
      <c r="B25" s="2"/>
      <c r="C25" s="7" t="s">
        <v>98</v>
      </c>
      <c r="D25" s="21"/>
      <c r="E25" s="21"/>
      <c r="G25" s="79"/>
      <c r="H25" s="79"/>
    </row>
    <row r="26" spans="1:8" ht="15" x14ac:dyDescent="0.2">
      <c r="A26" s="2"/>
      <c r="B26" s="2"/>
      <c r="C26" s="7" t="s">
        <v>99</v>
      </c>
      <c r="D26" s="21"/>
      <c r="E26" s="21"/>
      <c r="G26" s="79"/>
      <c r="H26" s="79"/>
    </row>
    <row r="27" spans="1:8" ht="15" x14ac:dyDescent="0.2">
      <c r="A27" s="2"/>
      <c r="B27" s="2"/>
      <c r="C27" s="7" t="s">
        <v>100</v>
      </c>
      <c r="D27" s="21">
        <f>(0.15*875112.88)</f>
        <v>131266.932</v>
      </c>
      <c r="E27" s="21">
        <f>10000+10000+20000</f>
        <v>40000</v>
      </c>
      <c r="G27" s="79"/>
      <c r="H27" s="79"/>
    </row>
    <row r="28" spans="1:8" ht="15" x14ac:dyDescent="0.2">
      <c r="A28" s="2"/>
      <c r="B28" s="2"/>
      <c r="C28" s="7" t="s">
        <v>111</v>
      </c>
      <c r="D28" s="21">
        <f>(1*2327.21)</f>
        <v>2327.21</v>
      </c>
      <c r="E28" s="21">
        <f>20000</f>
        <v>20000</v>
      </c>
      <c r="G28" s="79"/>
      <c r="H28" s="79"/>
    </row>
    <row r="29" spans="1:8" ht="15" x14ac:dyDescent="0.2">
      <c r="A29" s="2"/>
      <c r="B29" s="2"/>
      <c r="C29" s="7" t="s">
        <v>101</v>
      </c>
      <c r="D29" s="21"/>
      <c r="E29" s="21"/>
      <c r="G29" s="79"/>
      <c r="H29" s="79"/>
    </row>
    <row r="30" spans="1:8" ht="15" x14ac:dyDescent="0.2">
      <c r="A30" s="2"/>
      <c r="B30" s="2"/>
      <c r="C30" s="7" t="s">
        <v>102</v>
      </c>
      <c r="D30" s="21"/>
      <c r="E30" s="21">
        <f>0+4000+161000</f>
        <v>165000</v>
      </c>
      <c r="G30" s="79"/>
      <c r="H30" s="79"/>
    </row>
    <row r="31" spans="1:8" ht="15" x14ac:dyDescent="0.2">
      <c r="A31" s="2"/>
      <c r="B31" s="2"/>
      <c r="C31" s="7" t="s">
        <v>103</v>
      </c>
      <c r="D31" s="21"/>
      <c r="E31" s="21"/>
      <c r="G31" s="79"/>
      <c r="H31" s="79"/>
    </row>
    <row r="32" spans="1:8" ht="15" x14ac:dyDescent="0.2">
      <c r="A32" s="2"/>
      <c r="B32" s="2"/>
      <c r="C32" s="7" t="s">
        <v>20</v>
      </c>
      <c r="D32" s="21"/>
      <c r="E32" s="21"/>
      <c r="G32" s="79"/>
      <c r="H32" s="79"/>
    </row>
    <row r="33" spans="1:9" ht="15" x14ac:dyDescent="0.25">
      <c r="A33" s="2"/>
      <c r="B33" s="2"/>
      <c r="C33" s="6" t="s">
        <v>134</v>
      </c>
      <c r="D33" s="21"/>
      <c r="E33" s="21"/>
      <c r="G33" s="79"/>
      <c r="H33" s="79"/>
    </row>
    <row r="34" spans="1:9" ht="15" x14ac:dyDescent="0.25">
      <c r="A34" s="2"/>
      <c r="B34" s="2"/>
      <c r="C34" s="2" t="s">
        <v>109</v>
      </c>
      <c r="D34" s="21"/>
      <c r="E34" s="21"/>
      <c r="G34" s="79"/>
      <c r="H34" s="79"/>
    </row>
    <row r="35" spans="1:9" ht="15" x14ac:dyDescent="0.25">
      <c r="A35" s="2"/>
      <c r="B35" s="5" t="s">
        <v>11</v>
      </c>
      <c r="C35" s="5"/>
      <c r="D35" s="47">
        <f>SUM(D19:D34)</f>
        <v>1724090.01</v>
      </c>
      <c r="E35" s="47">
        <f>SUM(E19:E34)</f>
        <v>2551000</v>
      </c>
      <c r="G35" s="80"/>
      <c r="H35" s="80"/>
      <c r="I35" s="74"/>
    </row>
    <row r="36" spans="1:9" ht="15" x14ac:dyDescent="0.25">
      <c r="A36" s="4" t="str">
        <f>A8&amp;" Total"</f>
        <v>Cross Cutting Total</v>
      </c>
      <c r="B36" s="4"/>
      <c r="C36" s="4"/>
      <c r="D36" s="70">
        <f>D35+D18</f>
        <v>1864563.84</v>
      </c>
      <c r="E36" s="70">
        <f>E35+E18</f>
        <v>3081000</v>
      </c>
      <c r="G36" s="80"/>
      <c r="H36" s="80"/>
      <c r="I36" s="76"/>
    </row>
    <row r="37" spans="1:9" ht="15" x14ac:dyDescent="0.25">
      <c r="A37" s="2"/>
      <c r="B37" s="2" t="s">
        <v>24</v>
      </c>
      <c r="C37" s="2" t="s">
        <v>19</v>
      </c>
      <c r="D37" s="21"/>
      <c r="E37" s="21"/>
      <c r="G37" s="16"/>
      <c r="H37" s="16"/>
    </row>
    <row r="38" spans="1:9" ht="15" x14ac:dyDescent="0.25">
      <c r="A38" s="8"/>
      <c r="B38" s="8"/>
      <c r="C38" s="8"/>
      <c r="D38" s="8"/>
      <c r="E38" s="8"/>
      <c r="G38" s="16"/>
      <c r="H38" s="79"/>
    </row>
    <row r="39" spans="1:9" ht="15" x14ac:dyDescent="0.25">
      <c r="A39" s="8" t="s">
        <v>21</v>
      </c>
      <c r="B39" s="8" t="s">
        <v>25</v>
      </c>
      <c r="C39" s="8"/>
      <c r="D39" s="8"/>
      <c r="E39" s="8"/>
    </row>
    <row r="40" spans="1:9" ht="15" x14ac:dyDescent="0.25">
      <c r="A40" s="8"/>
      <c r="B40" s="17" t="s">
        <v>26</v>
      </c>
    </row>
    <row r="41" spans="1:9" ht="15" x14ac:dyDescent="0.25">
      <c r="B41" s="16" t="s">
        <v>105</v>
      </c>
    </row>
  </sheetData>
  <pageMargins left="0" right="0" top="0" bottom="0" header="0.3" footer="0.3"/>
  <pageSetup scale="72" orientation="landscape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5"/>
    <pageSetUpPr fitToPage="1"/>
  </sheetPr>
  <dimension ref="A1:E41"/>
  <sheetViews>
    <sheetView zoomScale="90" zoomScaleNormal="90" workbookViewId="0">
      <selection activeCell="C8" sqref="C8"/>
    </sheetView>
  </sheetViews>
  <sheetFormatPr defaultColWidth="8.86328125" defaultRowHeight="14.25" x14ac:dyDescent="0.45"/>
  <cols>
    <col min="1" max="1" width="14.73046875" customWidth="1"/>
    <col min="2" max="2" width="33.1328125" customWidth="1"/>
    <col min="3" max="3" width="53.73046875" bestFit="1" customWidth="1"/>
    <col min="4" max="5" width="23.3984375" customWidth="1"/>
  </cols>
  <sheetData>
    <row r="1" spans="1:5" ht="15" x14ac:dyDescent="0.2">
      <c r="A1" s="19" t="str">
        <f>'Portfolio Summary'!A1</f>
        <v>BAY AREA REGIONAL ENERGY NETWORK (BAYREN)</v>
      </c>
    </row>
    <row r="2" spans="1:5" ht="15" x14ac:dyDescent="0.2">
      <c r="A2" s="19" t="s">
        <v>112</v>
      </c>
    </row>
    <row r="3" spans="1:5" ht="15" x14ac:dyDescent="0.2">
      <c r="A3" s="20" t="s">
        <v>118</v>
      </c>
    </row>
    <row r="6" spans="1:5" ht="15" x14ac:dyDescent="0.2">
      <c r="A6" s="2"/>
      <c r="B6" s="2"/>
      <c r="C6" s="2"/>
      <c r="D6" s="2"/>
      <c r="E6" s="2"/>
    </row>
    <row r="7" spans="1:5" ht="30" x14ac:dyDescent="0.2">
      <c r="A7" s="3" t="s">
        <v>9</v>
      </c>
      <c r="B7" s="4" t="s">
        <v>2</v>
      </c>
      <c r="C7" s="4" t="s">
        <v>6</v>
      </c>
      <c r="D7" s="11" t="s">
        <v>129</v>
      </c>
      <c r="E7" s="11" t="s">
        <v>130</v>
      </c>
    </row>
    <row r="8" spans="1:5" ht="15" x14ac:dyDescent="0.2">
      <c r="A8" s="2" t="s">
        <v>122</v>
      </c>
      <c r="B8" s="2" t="s">
        <v>23</v>
      </c>
      <c r="C8" s="7" t="s">
        <v>83</v>
      </c>
      <c r="D8" s="21"/>
      <c r="E8" s="21"/>
    </row>
    <row r="9" spans="1:5" ht="15" x14ac:dyDescent="0.2">
      <c r="A9" s="2"/>
      <c r="B9" s="2"/>
      <c r="C9" s="7" t="s">
        <v>31</v>
      </c>
      <c r="D9" s="21"/>
      <c r="E9" s="21"/>
    </row>
    <row r="10" spans="1:5" ht="15" x14ac:dyDescent="0.2">
      <c r="A10" s="2"/>
      <c r="B10" s="2"/>
      <c r="C10" s="7" t="s">
        <v>84</v>
      </c>
      <c r="D10" s="21"/>
      <c r="E10" s="21"/>
    </row>
    <row r="11" spans="1:5" ht="15" x14ac:dyDescent="0.2">
      <c r="A11" s="2"/>
      <c r="B11" s="2"/>
      <c r="C11" s="7" t="s">
        <v>32</v>
      </c>
      <c r="D11" s="21"/>
      <c r="E11" s="21"/>
    </row>
    <row r="12" spans="1:5" ht="15" x14ac:dyDescent="0.2">
      <c r="A12" s="2"/>
      <c r="B12" s="2"/>
      <c r="C12" s="7" t="s">
        <v>33</v>
      </c>
      <c r="D12" s="21"/>
      <c r="E12" s="21"/>
    </row>
    <row r="13" spans="1:5" ht="15" x14ac:dyDescent="0.2">
      <c r="A13" s="2"/>
      <c r="B13" s="2"/>
      <c r="C13" s="7" t="s">
        <v>34</v>
      </c>
      <c r="D13" s="21"/>
      <c r="E13" s="21"/>
    </row>
    <row r="14" spans="1:5" ht="15" x14ac:dyDescent="0.2">
      <c r="A14" s="2"/>
      <c r="B14" s="2"/>
      <c r="C14" s="7" t="s">
        <v>110</v>
      </c>
      <c r="D14" s="21"/>
      <c r="E14" s="21"/>
    </row>
    <row r="15" spans="1:5" ht="15" x14ac:dyDescent="0.2">
      <c r="A15" s="2"/>
      <c r="B15" s="2"/>
      <c r="C15" s="7" t="s">
        <v>35</v>
      </c>
      <c r="D15" s="21"/>
      <c r="E15" s="21"/>
    </row>
    <row r="16" spans="1:5" ht="15" x14ac:dyDescent="0.2">
      <c r="A16" s="2"/>
      <c r="B16" s="2"/>
      <c r="C16" s="7" t="s">
        <v>5</v>
      </c>
      <c r="D16" s="21"/>
      <c r="E16" s="21"/>
    </row>
    <row r="17" spans="1:5" ht="15" x14ac:dyDescent="0.2">
      <c r="A17" s="2"/>
      <c r="B17" s="2"/>
      <c r="C17" s="7" t="s">
        <v>36</v>
      </c>
      <c r="D17" s="21"/>
      <c r="E17" s="21"/>
    </row>
    <row r="18" spans="1:5" ht="15" x14ac:dyDescent="0.2">
      <c r="A18" s="2"/>
      <c r="B18" s="5" t="s">
        <v>4</v>
      </c>
      <c r="C18" s="5"/>
      <c r="D18" s="22">
        <f>SUM(D8:D17)</f>
        <v>0</v>
      </c>
      <c r="E18" s="22">
        <f>SUM(E8:E17)</f>
        <v>0</v>
      </c>
    </row>
    <row r="19" spans="1:5" ht="15" x14ac:dyDescent="0.2">
      <c r="A19" s="2"/>
      <c r="B19" s="2" t="s">
        <v>8</v>
      </c>
      <c r="C19" s="2" t="s">
        <v>18</v>
      </c>
      <c r="D19" s="21"/>
      <c r="E19" s="21"/>
    </row>
    <row r="20" spans="1:5" ht="15" x14ac:dyDescent="0.2">
      <c r="A20" s="2"/>
      <c r="B20" s="2"/>
      <c r="C20" s="2" t="s">
        <v>104</v>
      </c>
      <c r="D20" s="21"/>
      <c r="E20" s="21"/>
    </row>
    <row r="21" spans="1:5" ht="15" x14ac:dyDescent="0.2">
      <c r="A21" s="2"/>
      <c r="B21" s="2"/>
      <c r="C21" s="2" t="s">
        <v>7</v>
      </c>
      <c r="D21" s="21"/>
      <c r="E21" s="21"/>
    </row>
    <row r="22" spans="1:5" ht="15" x14ac:dyDescent="0.2">
      <c r="A22" s="2"/>
      <c r="B22" s="2"/>
      <c r="C22" s="7" t="s">
        <v>95</v>
      </c>
      <c r="D22" s="21"/>
      <c r="E22" s="21"/>
    </row>
    <row r="23" spans="1:5" ht="15" x14ac:dyDescent="0.2">
      <c r="A23" s="2"/>
      <c r="B23" s="2"/>
      <c r="C23" s="7" t="s">
        <v>96</v>
      </c>
      <c r="D23" s="21"/>
      <c r="E23" s="21"/>
    </row>
    <row r="24" spans="1:5" ht="15" x14ac:dyDescent="0.2">
      <c r="A24" s="2"/>
      <c r="B24" s="2"/>
      <c r="C24" s="7" t="s">
        <v>97</v>
      </c>
      <c r="D24" s="21"/>
      <c r="E24" s="21"/>
    </row>
    <row r="25" spans="1:5" ht="15" x14ac:dyDescent="0.2">
      <c r="A25" s="2"/>
      <c r="B25" s="2"/>
      <c r="C25" s="7" t="s">
        <v>98</v>
      </c>
      <c r="D25" s="21"/>
      <c r="E25" s="21"/>
    </row>
    <row r="26" spans="1:5" ht="15" x14ac:dyDescent="0.2">
      <c r="A26" s="2"/>
      <c r="B26" s="2"/>
      <c r="C26" s="7" t="s">
        <v>99</v>
      </c>
      <c r="D26" s="21"/>
      <c r="E26" s="21"/>
    </row>
    <row r="27" spans="1:5" ht="15" x14ac:dyDescent="0.2">
      <c r="A27" s="2"/>
      <c r="B27" s="2"/>
      <c r="C27" s="7" t="s">
        <v>100</v>
      </c>
      <c r="D27" s="21"/>
      <c r="E27" s="21"/>
    </row>
    <row r="28" spans="1:5" ht="15" x14ac:dyDescent="0.2">
      <c r="A28" s="2"/>
      <c r="B28" s="2"/>
      <c r="C28" s="7" t="s">
        <v>111</v>
      </c>
      <c r="D28" s="21"/>
      <c r="E28" s="21"/>
    </row>
    <row r="29" spans="1:5" ht="15" x14ac:dyDescent="0.2">
      <c r="A29" s="2"/>
      <c r="B29" s="2"/>
      <c r="C29" s="7" t="s">
        <v>101</v>
      </c>
      <c r="D29" s="21"/>
      <c r="E29" s="21"/>
    </row>
    <row r="30" spans="1:5" ht="15" x14ac:dyDescent="0.2">
      <c r="A30" s="2"/>
      <c r="B30" s="2"/>
      <c r="C30" s="7" t="s">
        <v>102</v>
      </c>
      <c r="D30" s="21"/>
      <c r="E30" s="21"/>
    </row>
    <row r="31" spans="1:5" ht="15" x14ac:dyDescent="0.2">
      <c r="A31" s="2"/>
      <c r="B31" s="2"/>
      <c r="C31" s="7" t="s">
        <v>103</v>
      </c>
      <c r="D31" s="21"/>
      <c r="E31" s="21"/>
    </row>
    <row r="32" spans="1:5" ht="15" x14ac:dyDescent="0.2">
      <c r="A32" s="2"/>
      <c r="B32" s="2"/>
      <c r="C32" s="7" t="s">
        <v>20</v>
      </c>
      <c r="D32" s="21"/>
      <c r="E32" s="21"/>
    </row>
    <row r="33" spans="1:5" ht="15" x14ac:dyDescent="0.2">
      <c r="A33" s="2"/>
      <c r="B33" s="2"/>
      <c r="C33" s="6" t="s">
        <v>108</v>
      </c>
      <c r="D33" s="21"/>
      <c r="E33" s="21"/>
    </row>
    <row r="34" spans="1:5" ht="15" x14ac:dyDescent="0.2">
      <c r="A34" s="2"/>
      <c r="B34" s="2"/>
      <c r="C34" s="2" t="s">
        <v>109</v>
      </c>
      <c r="D34" s="21"/>
      <c r="E34" s="21"/>
    </row>
    <row r="35" spans="1:5" ht="15" x14ac:dyDescent="0.2">
      <c r="A35" s="2"/>
      <c r="B35" s="5" t="s">
        <v>11</v>
      </c>
      <c r="C35" s="5"/>
      <c r="D35" s="22">
        <f>SUM(D19:D34)</f>
        <v>0</v>
      </c>
      <c r="E35" s="22">
        <f>SUM(E19:E34)</f>
        <v>0</v>
      </c>
    </row>
    <row r="36" spans="1:5" ht="15" x14ac:dyDescent="0.2">
      <c r="A36" s="4" t="str">
        <f>A8&amp;" Total"</f>
        <v>Industrial  Total</v>
      </c>
      <c r="B36" s="4"/>
      <c r="C36" s="4"/>
      <c r="D36" s="23">
        <f>D35+D18</f>
        <v>0</v>
      </c>
      <c r="E36" s="23">
        <f>E35+E18</f>
        <v>0</v>
      </c>
    </row>
    <row r="37" spans="1:5" ht="15" x14ac:dyDescent="0.2">
      <c r="A37" s="2"/>
      <c r="B37" s="2" t="s">
        <v>24</v>
      </c>
      <c r="C37" s="2" t="s">
        <v>19</v>
      </c>
      <c r="D37" s="21"/>
      <c r="E37" s="21"/>
    </row>
    <row r="38" spans="1:5" ht="15" x14ac:dyDescent="0.2">
      <c r="A38" s="8"/>
      <c r="B38" s="8"/>
      <c r="C38" s="8"/>
      <c r="D38" s="8"/>
      <c r="E38" s="8"/>
    </row>
    <row r="39" spans="1:5" ht="15" x14ac:dyDescent="0.2">
      <c r="A39" s="8" t="s">
        <v>21</v>
      </c>
      <c r="B39" s="8" t="s">
        <v>25</v>
      </c>
      <c r="C39" s="8"/>
      <c r="D39" s="8"/>
      <c r="E39" s="8"/>
    </row>
    <row r="40" spans="1:5" ht="15" x14ac:dyDescent="0.2">
      <c r="A40" s="8"/>
      <c r="B40" s="17" t="s">
        <v>26</v>
      </c>
    </row>
    <row r="41" spans="1:5" ht="15" x14ac:dyDescent="0.2">
      <c r="B41" s="16" t="s">
        <v>105</v>
      </c>
    </row>
  </sheetData>
  <pageMargins left="0" right="0" top="0" bottom="0" header="0.3" footer="0.3"/>
  <pageSetup scale="72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5"/>
    <pageSetUpPr fitToPage="1"/>
  </sheetPr>
  <dimension ref="A1:E41"/>
  <sheetViews>
    <sheetView zoomScale="90" zoomScaleNormal="90" workbookViewId="0">
      <selection activeCell="C8" sqref="C8"/>
    </sheetView>
  </sheetViews>
  <sheetFormatPr defaultColWidth="8.86328125" defaultRowHeight="14.25" x14ac:dyDescent="0.45"/>
  <cols>
    <col min="1" max="1" width="14.73046875" customWidth="1"/>
    <col min="2" max="2" width="33.1328125" customWidth="1"/>
    <col min="3" max="3" width="53.73046875" bestFit="1" customWidth="1"/>
    <col min="4" max="5" width="23.3984375" customWidth="1"/>
  </cols>
  <sheetData>
    <row r="1" spans="1:5" ht="15" x14ac:dyDescent="0.2">
      <c r="A1" s="19" t="str">
        <f>'Portfolio Summary'!A1</f>
        <v>BAY AREA REGIONAL ENERGY NETWORK (BAYREN)</v>
      </c>
    </row>
    <row r="2" spans="1:5" ht="15" x14ac:dyDescent="0.2">
      <c r="A2" s="19" t="s">
        <v>112</v>
      </c>
    </row>
    <row r="3" spans="1:5" ht="15" x14ac:dyDescent="0.2">
      <c r="A3" s="20" t="s">
        <v>119</v>
      </c>
    </row>
    <row r="6" spans="1:5" ht="15" x14ac:dyDescent="0.2">
      <c r="A6" s="2"/>
      <c r="B6" s="2"/>
      <c r="C6" s="2"/>
      <c r="D6" s="2"/>
      <c r="E6" s="2"/>
    </row>
    <row r="7" spans="1:5" ht="30" x14ac:dyDescent="0.2">
      <c r="A7" s="3" t="s">
        <v>9</v>
      </c>
      <c r="B7" s="4" t="s">
        <v>2</v>
      </c>
      <c r="C7" s="4" t="s">
        <v>6</v>
      </c>
      <c r="D7" s="11" t="s">
        <v>129</v>
      </c>
      <c r="E7" s="11" t="s">
        <v>130</v>
      </c>
    </row>
    <row r="8" spans="1:5" ht="15" x14ac:dyDescent="0.2">
      <c r="A8" s="2" t="s">
        <v>14</v>
      </c>
      <c r="B8" s="2" t="s">
        <v>23</v>
      </c>
      <c r="C8" s="7" t="s">
        <v>83</v>
      </c>
      <c r="D8" s="21"/>
      <c r="E8" s="21"/>
    </row>
    <row r="9" spans="1:5" ht="15" x14ac:dyDescent="0.2">
      <c r="A9" s="2"/>
      <c r="B9" s="2"/>
      <c r="C9" s="7" t="s">
        <v>31</v>
      </c>
      <c r="D9" s="21"/>
      <c r="E9" s="21"/>
    </row>
    <row r="10" spans="1:5" ht="15" x14ac:dyDescent="0.2">
      <c r="A10" s="2"/>
      <c r="B10" s="2"/>
      <c r="C10" s="7" t="s">
        <v>84</v>
      </c>
      <c r="D10" s="21"/>
      <c r="E10" s="21"/>
    </row>
    <row r="11" spans="1:5" ht="15" x14ac:dyDescent="0.2">
      <c r="A11" s="2"/>
      <c r="B11" s="2"/>
      <c r="C11" s="7" t="s">
        <v>32</v>
      </c>
      <c r="D11" s="21"/>
      <c r="E11" s="21"/>
    </row>
    <row r="12" spans="1:5" ht="15" x14ac:dyDescent="0.2">
      <c r="A12" s="2"/>
      <c r="B12" s="2"/>
      <c r="C12" s="7" t="s">
        <v>33</v>
      </c>
      <c r="D12" s="21"/>
      <c r="E12" s="21"/>
    </row>
    <row r="13" spans="1:5" ht="15" x14ac:dyDescent="0.2">
      <c r="A13" s="2"/>
      <c r="B13" s="2"/>
      <c r="C13" s="7" t="s">
        <v>34</v>
      </c>
      <c r="D13" s="21"/>
      <c r="E13" s="21"/>
    </row>
    <row r="14" spans="1:5" ht="15" x14ac:dyDescent="0.2">
      <c r="A14" s="2"/>
      <c r="B14" s="2"/>
      <c r="C14" s="7" t="s">
        <v>110</v>
      </c>
      <c r="D14" s="21"/>
      <c r="E14" s="21"/>
    </row>
    <row r="15" spans="1:5" ht="15" x14ac:dyDescent="0.2">
      <c r="A15" s="2"/>
      <c r="B15" s="2"/>
      <c r="C15" s="7" t="s">
        <v>35</v>
      </c>
      <c r="D15" s="21"/>
      <c r="E15" s="21"/>
    </row>
    <row r="16" spans="1:5" ht="15" x14ac:dyDescent="0.2">
      <c r="A16" s="2"/>
      <c r="B16" s="2"/>
      <c r="C16" s="7" t="s">
        <v>5</v>
      </c>
      <c r="D16" s="21"/>
      <c r="E16" s="21"/>
    </row>
    <row r="17" spans="1:5" ht="15" x14ac:dyDescent="0.2">
      <c r="A17" s="2"/>
      <c r="B17" s="2"/>
      <c r="C17" s="7" t="s">
        <v>36</v>
      </c>
      <c r="D17" s="21"/>
      <c r="E17" s="21"/>
    </row>
    <row r="18" spans="1:5" ht="15" x14ac:dyDescent="0.2">
      <c r="A18" s="2"/>
      <c r="B18" s="5" t="s">
        <v>4</v>
      </c>
      <c r="C18" s="5"/>
      <c r="D18" s="22">
        <f>SUM(D8:D17)</f>
        <v>0</v>
      </c>
      <c r="E18" s="22">
        <f>SUM(E8:E17)</f>
        <v>0</v>
      </c>
    </row>
    <row r="19" spans="1:5" ht="15" x14ac:dyDescent="0.2">
      <c r="A19" s="2"/>
      <c r="B19" s="2" t="s">
        <v>8</v>
      </c>
      <c r="C19" s="2" t="s">
        <v>18</v>
      </c>
      <c r="D19" s="21"/>
      <c r="E19" s="21"/>
    </row>
    <row r="20" spans="1:5" ht="15" x14ac:dyDescent="0.2">
      <c r="A20" s="2"/>
      <c r="B20" s="2"/>
      <c r="C20" s="2" t="s">
        <v>104</v>
      </c>
      <c r="D20" s="21"/>
      <c r="E20" s="21"/>
    </row>
    <row r="21" spans="1:5" ht="15" x14ac:dyDescent="0.2">
      <c r="A21" s="2"/>
      <c r="B21" s="2"/>
      <c r="C21" s="2" t="s">
        <v>7</v>
      </c>
      <c r="D21" s="21"/>
      <c r="E21" s="21"/>
    </row>
    <row r="22" spans="1:5" ht="15" x14ac:dyDescent="0.2">
      <c r="A22" s="2"/>
      <c r="B22" s="2"/>
      <c r="C22" s="7" t="s">
        <v>95</v>
      </c>
      <c r="D22" s="21"/>
      <c r="E22" s="21"/>
    </row>
    <row r="23" spans="1:5" ht="15" x14ac:dyDescent="0.2">
      <c r="A23" s="2"/>
      <c r="B23" s="2"/>
      <c r="C23" s="7" t="s">
        <v>96</v>
      </c>
      <c r="D23" s="21"/>
      <c r="E23" s="21"/>
    </row>
    <row r="24" spans="1:5" ht="15" x14ac:dyDescent="0.2">
      <c r="A24" s="2"/>
      <c r="B24" s="2"/>
      <c r="C24" s="7" t="s">
        <v>97</v>
      </c>
      <c r="D24" s="21"/>
      <c r="E24" s="21"/>
    </row>
    <row r="25" spans="1:5" ht="15" x14ac:dyDescent="0.2">
      <c r="A25" s="2"/>
      <c r="B25" s="2"/>
      <c r="C25" s="7" t="s">
        <v>98</v>
      </c>
      <c r="D25" s="21"/>
      <c r="E25" s="21"/>
    </row>
    <row r="26" spans="1:5" ht="15" x14ac:dyDescent="0.2">
      <c r="A26" s="2"/>
      <c r="B26" s="2"/>
      <c r="C26" s="7" t="s">
        <v>99</v>
      </c>
      <c r="D26" s="21"/>
      <c r="E26" s="21"/>
    </row>
    <row r="27" spans="1:5" ht="15" x14ac:dyDescent="0.2">
      <c r="A27" s="2"/>
      <c r="B27" s="2"/>
      <c r="C27" s="7" t="s">
        <v>100</v>
      </c>
      <c r="D27" s="21"/>
      <c r="E27" s="21"/>
    </row>
    <row r="28" spans="1:5" ht="15" x14ac:dyDescent="0.2">
      <c r="A28" s="2"/>
      <c r="B28" s="2"/>
      <c r="C28" s="7" t="s">
        <v>111</v>
      </c>
      <c r="D28" s="21"/>
      <c r="E28" s="21"/>
    </row>
    <row r="29" spans="1:5" ht="15" x14ac:dyDescent="0.2">
      <c r="A29" s="2"/>
      <c r="B29" s="2"/>
      <c r="C29" s="7" t="s">
        <v>101</v>
      </c>
      <c r="D29" s="21"/>
      <c r="E29" s="21"/>
    </row>
    <row r="30" spans="1:5" ht="15" x14ac:dyDescent="0.2">
      <c r="A30" s="2"/>
      <c r="B30" s="2"/>
      <c r="C30" s="7" t="s">
        <v>102</v>
      </c>
      <c r="D30" s="21"/>
      <c r="E30" s="21"/>
    </row>
    <row r="31" spans="1:5" ht="15" x14ac:dyDescent="0.2">
      <c r="A31" s="2"/>
      <c r="B31" s="2"/>
      <c r="C31" s="7" t="s">
        <v>103</v>
      </c>
      <c r="D31" s="21"/>
      <c r="E31" s="21"/>
    </row>
    <row r="32" spans="1:5" ht="15" x14ac:dyDescent="0.2">
      <c r="A32" s="2"/>
      <c r="B32" s="2"/>
      <c r="C32" s="7" t="s">
        <v>20</v>
      </c>
      <c r="D32" s="21"/>
      <c r="E32" s="21"/>
    </row>
    <row r="33" spans="1:5" ht="15" x14ac:dyDescent="0.2">
      <c r="A33" s="2"/>
      <c r="B33" s="2"/>
      <c r="C33" s="6" t="s">
        <v>108</v>
      </c>
      <c r="D33" s="21"/>
      <c r="E33" s="21"/>
    </row>
    <row r="34" spans="1:5" ht="15" x14ac:dyDescent="0.2">
      <c r="A34" s="2"/>
      <c r="B34" s="2"/>
      <c r="C34" s="2" t="s">
        <v>109</v>
      </c>
      <c r="D34" s="21"/>
      <c r="E34" s="21"/>
    </row>
    <row r="35" spans="1:5" ht="15" x14ac:dyDescent="0.2">
      <c r="A35" s="2"/>
      <c r="B35" s="5" t="s">
        <v>11</v>
      </c>
      <c r="C35" s="5"/>
      <c r="D35" s="22">
        <f>SUM(D19:D34)</f>
        <v>0</v>
      </c>
      <c r="E35" s="22">
        <f>SUM(E19:E34)</f>
        <v>0</v>
      </c>
    </row>
    <row r="36" spans="1:5" ht="15" x14ac:dyDescent="0.2">
      <c r="A36" s="4" t="str">
        <f>A8&amp;" Total"</f>
        <v>Agricultural Total</v>
      </c>
      <c r="B36" s="4"/>
      <c r="C36" s="4"/>
      <c r="D36" s="23">
        <f>D35+D18</f>
        <v>0</v>
      </c>
      <c r="E36" s="23">
        <f>E35+E18</f>
        <v>0</v>
      </c>
    </row>
    <row r="37" spans="1:5" ht="15" x14ac:dyDescent="0.2">
      <c r="A37" s="2"/>
      <c r="B37" s="2" t="s">
        <v>24</v>
      </c>
      <c r="C37" s="2" t="s">
        <v>19</v>
      </c>
      <c r="D37" s="21"/>
      <c r="E37" s="21"/>
    </row>
    <row r="38" spans="1:5" ht="15" x14ac:dyDescent="0.2">
      <c r="A38" s="8"/>
      <c r="B38" s="8"/>
      <c r="C38" s="8"/>
      <c r="D38" s="8"/>
      <c r="E38" s="8"/>
    </row>
    <row r="39" spans="1:5" ht="15" x14ac:dyDescent="0.2">
      <c r="A39" s="8" t="s">
        <v>21</v>
      </c>
      <c r="B39" s="8" t="s">
        <v>25</v>
      </c>
      <c r="C39" s="8"/>
      <c r="D39" s="8"/>
      <c r="E39" s="8"/>
    </row>
    <row r="40" spans="1:5" ht="15" x14ac:dyDescent="0.2">
      <c r="A40" s="8"/>
      <c r="B40" s="17" t="s">
        <v>26</v>
      </c>
    </row>
    <row r="41" spans="1:5" ht="15" x14ac:dyDescent="0.2">
      <c r="B41" s="16" t="s">
        <v>105</v>
      </c>
    </row>
  </sheetData>
  <pageMargins left="0" right="0" top="0" bottom="0" header="0.3" footer="0.3"/>
  <pageSetup scale="72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00501561ABBFB4B96913DDE7E2832A3" ma:contentTypeVersion="0" ma:contentTypeDescription="Create a new document." ma:contentTypeScope="" ma:versionID="c5ca54e99cde24efb5ba88f58dade7af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64490b4aec6201516c3a874156f37b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BFE968A-2039-43F2-8D53-E62894D6E32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B314543-5D1D-438D-B499-7DFE77591082}">
  <ds:schemaRefs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purl.org/dc/dcmitype/"/>
    <ds:schemaRef ds:uri="http://schemas.microsoft.com/office/2006/metadata/properties"/>
    <ds:schemaRef ds:uri="http://purl.org/dc/elements/1.1/"/>
    <ds:schemaRef ds:uri="http://www.w3.org/XML/1998/namespace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5B9C067A-5E3E-42CF-9DD1-644F85FFD9D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Portfolio Summary</vt:lpstr>
      <vt:lpstr>Functions Definitions</vt:lpstr>
      <vt:lpstr>Portfolio Headcount (FTE)</vt:lpstr>
      <vt:lpstr>Residential</vt:lpstr>
      <vt:lpstr>Commercial</vt:lpstr>
      <vt:lpstr>Public Sector</vt:lpstr>
      <vt:lpstr>Cross cutting</vt:lpstr>
      <vt:lpstr>Industrial</vt:lpstr>
      <vt:lpstr>Agricultural</vt:lpstr>
    </vt:vector>
  </TitlesOfParts>
  <Company>Pacific Gas and Electric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Chang, Valerie</dc:creator>
  <cp:lastModifiedBy>Jerry Lahr</cp:lastModifiedBy>
  <cp:lastPrinted>2017-06-01T18:48:17Z</cp:lastPrinted>
  <dcterms:created xsi:type="dcterms:W3CDTF">2016-12-02T16:16:58Z</dcterms:created>
  <dcterms:modified xsi:type="dcterms:W3CDTF">2017-06-08T17:52:33Z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0x010100C00501561ABBFB4B96913DDE7E2832A3</vt:lpwstr>
  </property>
</Properties>
</file>