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hart3.xml" ContentType="application/vnd.openxmlformats-officedocument.drawingml.chart+xml"/>
  <Override PartName="/xl/charts/chart2.xml" ContentType="application/vnd.openxmlformats-officedocument.drawingml.char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tables/table5.xml" ContentType="application/vnd.openxmlformats-officedocument.spreadsheetml.table+xml"/>
  <Override PartName="/xl/tables/table4.xml" ContentType="application/vnd.openxmlformats-officedocument.spreadsheetml.table+xml"/>
  <Override PartName="/xl/tables/table3.xml" ContentType="application/vnd.openxmlformats-officedocument.spreadsheetml.table+xml"/>
  <Override PartName="/xl/tables/table2.xml" ContentType="application/vnd.openxmlformats-officedocument.spreadsheetml.table+xml"/>
  <Override PartName="/xl/tables/table1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charts/colors3.xml" ContentType="application/vnd.ms-office.chartcolorstyle+xml"/>
  <Override PartName="/xl/charts/style3.xml" ContentType="application/vnd.ms-office.chart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1.xml" ContentType="application/vnd.ms-office.chartcolorstyle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0236" windowHeight="3804" activeTab="1"/>
  </bookViews>
  <sheets>
    <sheet name="Portfolio Budget" sheetId="12" r:id="rId1"/>
    <sheet name="Portfolio Savings" sheetId="13" r:id="rId2"/>
    <sheet name="2018 Subprogram Est." sheetId="1" r:id="rId3"/>
    <sheet name="App B.1 Budget" sheetId="10" r:id="rId4"/>
    <sheet name="App B.2 Savings" sheetId="11" r:id="rId5"/>
    <sheet name="Sector Budgets 3P 2017-2024" sheetId="2" r:id="rId6"/>
    <sheet name="Graphs" sheetId="6" r:id="rId7"/>
    <sheet name="Budget" sheetId="8" r:id="rId8"/>
    <sheet name="Savings" sheetId="9" r:id="rId9"/>
    <sheet name="Eric's Analysis" sheetId="3" r:id="rId10"/>
    <sheet name="Scale" sheetId="5" r:id="rId11"/>
    <sheet name="Sheet2" sheetId="7" r:id="rId12"/>
    <sheet name="CIA 3P Admin" sheetId="4" r:id="rId13"/>
  </sheets>
  <externalReferences>
    <externalReference r:id="rId14"/>
    <externalReference r:id="rId15"/>
    <externalReference r:id="rId16"/>
    <externalReference r:id="rId17"/>
    <externalReference r:id="rId18"/>
  </externalReferences>
  <definedNames>
    <definedName name="_xlnm._FilterDatabase" localSheetId="2" hidden="1">'2018 Subprogram Est.'!$A$5:$Y$5</definedName>
    <definedName name="_xlnm._FilterDatabase" localSheetId="5" hidden="1">'Sector Budgets 3P 2017-2024'!$A$21:$G$149</definedName>
    <definedName name="CommitmentSelect">[1]DateSelect!$A$6</definedName>
    <definedName name="Market_Sector" localSheetId="3">'[2]App B.1 Budget'!#REF!</definedName>
    <definedName name="_xlnm.Print_Titles" localSheetId="2">'2018 Subprogram Est.'!$1:$5</definedName>
    <definedName name="Program_Status" localSheetId="3">'[2]App B.1 Budget'!#REF!</definedName>
    <definedName name="Program_Type" localSheetId="3">'[2]App B.1 Budget'!#REF!</definedName>
    <definedName name="SCGAggEnd" localSheetId="0">#REF!</definedName>
    <definedName name="SCGAggEnd">#REF!</definedName>
    <definedName name="SCGMktSector" localSheetId="0">#REF!</definedName>
    <definedName name="SCGMktSector">#REF!</definedName>
    <definedName name="SCGPgmSum" localSheetId="0">#REF!</definedName>
    <definedName name="SCGPgmSum">#REF!</definedName>
    <definedName name="sdgeAggEnd" localSheetId="0">#REF!</definedName>
    <definedName name="sdgeAggEnd">#REF!</definedName>
    <definedName name="sdgeMktSector" localSheetId="0">#REF!</definedName>
    <definedName name="sdgeMktSector">#REF!</definedName>
    <definedName name="SDGEPgmSum" localSheetId="0">#REF!</definedName>
    <definedName name="SDGEPgmSum">#REF!</definedName>
    <definedName name="Utility_Grouping" localSheetId="3">'[2]App B.1 Budget'!#REF!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1" i="12" l="1"/>
  <c r="E61" i="12"/>
  <c r="F61" i="12"/>
  <c r="G61" i="12"/>
  <c r="C44" i="12"/>
  <c r="C29" i="12"/>
  <c r="C30" i="12"/>
  <c r="C31" i="12"/>
  <c r="G29" i="12"/>
  <c r="G30" i="12"/>
  <c r="G31" i="12"/>
  <c r="E29" i="12"/>
  <c r="E30" i="12"/>
  <c r="E31" i="12"/>
  <c r="D29" i="12"/>
  <c r="D30" i="12"/>
  <c r="D31" i="12"/>
  <c r="F29" i="12"/>
  <c r="F30" i="12"/>
  <c r="F31" i="12"/>
  <c r="L44" i="12"/>
  <c r="M44" i="12"/>
  <c r="E18" i="13"/>
  <c r="E17" i="13"/>
  <c r="E12" i="13"/>
  <c r="E11" i="13"/>
  <c r="E6" i="13"/>
  <c r="E5" i="13"/>
  <c r="I6" i="13"/>
  <c r="I5" i="13"/>
  <c r="I12" i="13"/>
  <c r="I11" i="13"/>
  <c r="I18" i="13"/>
  <c r="I17" i="13"/>
  <c r="I23" i="13"/>
  <c r="I30" i="13"/>
  <c r="I37" i="13"/>
  <c r="I45" i="13"/>
  <c r="I51" i="13"/>
  <c r="I57" i="13"/>
  <c r="I63" i="13"/>
  <c r="I69" i="13"/>
  <c r="I22" i="13"/>
  <c r="I29" i="13"/>
  <c r="I36" i="13"/>
  <c r="I44" i="13"/>
  <c r="I50" i="13"/>
  <c r="I56" i="13"/>
  <c r="I62" i="13"/>
  <c r="I68" i="13"/>
  <c r="J23" i="13"/>
  <c r="J22" i="13"/>
  <c r="R21" i="2"/>
  <c r="C32" i="12"/>
  <c r="D32" i="12"/>
  <c r="E32" i="12"/>
  <c r="F32" i="12"/>
  <c r="G32" i="12"/>
  <c r="H40" i="12"/>
  <c r="I40" i="12"/>
  <c r="J40" i="12"/>
  <c r="K40" i="12"/>
  <c r="L40" i="12"/>
  <c r="C28" i="12"/>
  <c r="D28" i="12"/>
  <c r="E28" i="12"/>
  <c r="F28" i="12"/>
  <c r="G28" i="12"/>
  <c r="H29" i="12"/>
  <c r="H30" i="12"/>
  <c r="H31" i="12"/>
  <c r="H32" i="12"/>
  <c r="H28" i="12"/>
  <c r="I29" i="12"/>
  <c r="I30" i="12"/>
  <c r="I31" i="12"/>
  <c r="I32" i="12"/>
  <c r="I28" i="12"/>
  <c r="J29" i="12"/>
  <c r="J30" i="12"/>
  <c r="J31" i="12"/>
  <c r="J32" i="12"/>
  <c r="J28" i="12"/>
  <c r="K29" i="12"/>
  <c r="K30" i="12"/>
  <c r="K31" i="12"/>
  <c r="K32" i="12"/>
  <c r="K28" i="12"/>
  <c r="L28" i="12"/>
  <c r="M6" i="13"/>
  <c r="M5" i="13"/>
  <c r="D5" i="13"/>
  <c r="D6" i="13"/>
  <c r="K5" i="13"/>
  <c r="K6" i="13"/>
  <c r="N6" i="13"/>
  <c r="N5" i="13"/>
  <c r="L6" i="13"/>
  <c r="H6" i="13"/>
  <c r="G6" i="13"/>
  <c r="F6" i="13"/>
  <c r="L5" i="13"/>
  <c r="H5" i="13"/>
  <c r="G5" i="13"/>
  <c r="F5" i="13"/>
  <c r="J6" i="13"/>
  <c r="J5" i="13"/>
  <c r="J30" i="13"/>
  <c r="J37" i="13"/>
  <c r="J45" i="13"/>
  <c r="J51" i="13"/>
  <c r="J57" i="13"/>
  <c r="J63" i="13"/>
  <c r="J29" i="13"/>
  <c r="J36" i="13"/>
  <c r="J44" i="13"/>
  <c r="J50" i="13"/>
  <c r="J56" i="13"/>
  <c r="J62" i="13"/>
  <c r="S85" i="13"/>
  <c r="R85" i="13"/>
  <c r="Q85" i="13"/>
  <c r="P85" i="13"/>
  <c r="O85" i="13"/>
  <c r="S84" i="13"/>
  <c r="R84" i="13"/>
  <c r="Q84" i="13"/>
  <c r="P84" i="13"/>
  <c r="O84" i="13"/>
  <c r="N85" i="13"/>
  <c r="N84" i="13"/>
  <c r="M85" i="13"/>
  <c r="M84" i="13"/>
  <c r="K74" i="13"/>
  <c r="J74" i="13"/>
  <c r="H74" i="13"/>
  <c r="G74" i="13"/>
  <c r="F74" i="13"/>
  <c r="E74" i="13"/>
  <c r="N18" i="13"/>
  <c r="N23" i="13"/>
  <c r="N30" i="13"/>
  <c r="N37" i="13"/>
  <c r="N45" i="13"/>
  <c r="N51" i="13"/>
  <c r="N57" i="13"/>
  <c r="N63" i="13"/>
  <c r="N69" i="13"/>
  <c r="N17" i="13"/>
  <c r="N22" i="13"/>
  <c r="N29" i="13"/>
  <c r="N36" i="13"/>
  <c r="M18" i="13"/>
  <c r="M23" i="13"/>
  <c r="M17" i="13"/>
  <c r="M22" i="13"/>
  <c r="L18" i="13"/>
  <c r="L17" i="13"/>
  <c r="K18" i="13"/>
  <c r="K23" i="13"/>
  <c r="K17" i="13"/>
  <c r="K22" i="13"/>
  <c r="J18" i="13"/>
  <c r="J69" i="13"/>
  <c r="J17" i="13"/>
  <c r="J68" i="13"/>
  <c r="H18" i="13"/>
  <c r="H30" i="13"/>
  <c r="H37" i="13"/>
  <c r="H17" i="13"/>
  <c r="H29" i="13"/>
  <c r="H36" i="13"/>
  <c r="H44" i="13"/>
  <c r="H50" i="13"/>
  <c r="H56" i="13"/>
  <c r="H62" i="13"/>
  <c r="H68" i="13"/>
  <c r="G18" i="13"/>
  <c r="G30" i="13"/>
  <c r="G37" i="13"/>
  <c r="G17" i="13"/>
  <c r="G29" i="13"/>
  <c r="G36" i="13"/>
  <c r="G44" i="13"/>
  <c r="G50" i="13"/>
  <c r="G56" i="13"/>
  <c r="G62" i="13"/>
  <c r="G68" i="13"/>
  <c r="F18" i="13"/>
  <c r="F30" i="13"/>
  <c r="F37" i="13"/>
  <c r="F45" i="13"/>
  <c r="F51" i="13"/>
  <c r="F57" i="13"/>
  <c r="F63" i="13"/>
  <c r="F69" i="13"/>
  <c r="F17" i="13"/>
  <c r="F29" i="13"/>
  <c r="F36" i="13"/>
  <c r="F44" i="13"/>
  <c r="F50" i="13"/>
  <c r="F56" i="13"/>
  <c r="F62" i="13"/>
  <c r="F68" i="13"/>
  <c r="E30" i="13"/>
  <c r="E29" i="13"/>
  <c r="E36" i="13"/>
  <c r="E44" i="13"/>
  <c r="E50" i="13"/>
  <c r="E56" i="13"/>
  <c r="E62" i="13"/>
  <c r="E68" i="13"/>
  <c r="D18" i="13"/>
  <c r="D17" i="13"/>
  <c r="G12" i="13"/>
  <c r="G11" i="13"/>
  <c r="N12" i="13"/>
  <c r="N11" i="13"/>
  <c r="M12" i="13"/>
  <c r="M11" i="13"/>
  <c r="L12" i="13"/>
  <c r="L11" i="13"/>
  <c r="J12" i="13"/>
  <c r="J11" i="13"/>
  <c r="K12" i="13"/>
  <c r="K11" i="13"/>
  <c r="H12" i="13"/>
  <c r="H11" i="13"/>
  <c r="F12" i="13"/>
  <c r="F11" i="13"/>
  <c r="D12" i="13"/>
  <c r="D11" i="13"/>
  <c r="O18" i="13"/>
  <c r="D45" i="13"/>
  <c r="H45" i="13"/>
  <c r="H51" i="13"/>
  <c r="H57" i="13"/>
  <c r="H63" i="13"/>
  <c r="H69" i="13"/>
  <c r="N44" i="13"/>
  <c r="N50" i="13"/>
  <c r="N56" i="13"/>
  <c r="N62" i="13"/>
  <c r="N68" i="13"/>
  <c r="O30" i="13"/>
  <c r="E37" i="13"/>
  <c r="E45" i="13"/>
  <c r="E51" i="13"/>
  <c r="E57" i="13"/>
  <c r="E63" i="13"/>
  <c r="E69" i="13"/>
  <c r="G45" i="13"/>
  <c r="G51" i="13"/>
  <c r="G57" i="13"/>
  <c r="G63" i="13"/>
  <c r="G69" i="13"/>
  <c r="O29" i="13"/>
  <c r="O12" i="13"/>
  <c r="O23" i="13"/>
  <c r="O22" i="13"/>
  <c r="O17" i="13"/>
  <c r="O11" i="13"/>
  <c r="S112" i="11"/>
  <c r="S83" i="11"/>
  <c r="S79" i="11"/>
  <c r="S59" i="11"/>
  <c r="S50" i="11"/>
  <c r="S45" i="11"/>
  <c r="S34" i="11"/>
  <c r="S23" i="11"/>
  <c r="S19" i="11"/>
  <c r="S15" i="11"/>
  <c r="S7" i="11"/>
  <c r="L7" i="11"/>
  <c r="K7" i="11"/>
  <c r="J7" i="11"/>
  <c r="I7" i="11"/>
  <c r="L15" i="11"/>
  <c r="K15" i="11"/>
  <c r="J15" i="11"/>
  <c r="I15" i="11"/>
  <c r="L19" i="11"/>
  <c r="K19" i="11"/>
  <c r="J19" i="11"/>
  <c r="I19" i="11"/>
  <c r="L21" i="11"/>
  <c r="K21" i="11"/>
  <c r="J21" i="11"/>
  <c r="I21" i="11"/>
  <c r="L23" i="11"/>
  <c r="K23" i="11"/>
  <c r="J23" i="11"/>
  <c r="I23" i="11"/>
  <c r="L34" i="11"/>
  <c r="K34" i="11"/>
  <c r="J34" i="11"/>
  <c r="I34" i="11"/>
  <c r="L45" i="11"/>
  <c r="K45" i="11"/>
  <c r="J45" i="11"/>
  <c r="I45" i="11"/>
  <c r="L50" i="11"/>
  <c r="K50" i="11"/>
  <c r="J50" i="11"/>
  <c r="I50" i="11"/>
  <c r="L59" i="11"/>
  <c r="K59" i="11"/>
  <c r="J59" i="11"/>
  <c r="I59" i="11"/>
  <c r="L64" i="11"/>
  <c r="K64" i="11"/>
  <c r="J64" i="11"/>
  <c r="I64" i="11"/>
  <c r="L69" i="11"/>
  <c r="K69" i="11"/>
  <c r="J69" i="11"/>
  <c r="I69" i="11"/>
  <c r="L75" i="11"/>
  <c r="K75" i="11"/>
  <c r="J75" i="11"/>
  <c r="I75" i="11"/>
  <c r="L79" i="11"/>
  <c r="K79" i="11"/>
  <c r="J79" i="11"/>
  <c r="I79" i="11"/>
  <c r="L83" i="11"/>
  <c r="K83" i="11"/>
  <c r="J83" i="11"/>
  <c r="I83" i="11"/>
  <c r="L112" i="11"/>
  <c r="G21" i="11"/>
  <c r="F21" i="11"/>
  <c r="E21" i="11"/>
  <c r="O5" i="13"/>
  <c r="O45" i="13"/>
  <c r="D51" i="13"/>
  <c r="D44" i="13"/>
  <c r="O36" i="13"/>
  <c r="O37" i="13"/>
  <c r="O6" i="13"/>
  <c r="R123" i="11"/>
  <c r="Q123" i="11"/>
  <c r="P123" i="11"/>
  <c r="O123" i="11"/>
  <c r="N123" i="11"/>
  <c r="L123" i="11"/>
  <c r="M112" i="11"/>
  <c r="K123" i="11"/>
  <c r="J123" i="11"/>
  <c r="I123" i="11"/>
  <c r="G123" i="11"/>
  <c r="F123" i="11"/>
  <c r="E123" i="11"/>
  <c r="G112" i="11"/>
  <c r="F112" i="11"/>
  <c r="E112" i="11"/>
  <c r="G83" i="11"/>
  <c r="F83" i="11"/>
  <c r="E83" i="11"/>
  <c r="G79" i="11"/>
  <c r="F79" i="11"/>
  <c r="E79" i="11"/>
  <c r="G75" i="11"/>
  <c r="F75" i="11"/>
  <c r="E75" i="11"/>
  <c r="G69" i="11"/>
  <c r="F69" i="11"/>
  <c r="E69" i="11"/>
  <c r="G64" i="11"/>
  <c r="F64" i="11"/>
  <c r="E64" i="11"/>
  <c r="G59" i="11"/>
  <c r="F59" i="11"/>
  <c r="E59" i="11"/>
  <c r="G50" i="11"/>
  <c r="F50" i="11"/>
  <c r="E50" i="11"/>
  <c r="G45" i="11"/>
  <c r="F45" i="11"/>
  <c r="E45" i="11"/>
  <c r="G34" i="11"/>
  <c r="F34" i="11"/>
  <c r="E34" i="11"/>
  <c r="G23" i="11"/>
  <c r="F23" i="11"/>
  <c r="E23" i="11"/>
  <c r="G19" i="11"/>
  <c r="F19" i="11"/>
  <c r="E19" i="11"/>
  <c r="G15" i="11"/>
  <c r="F15" i="11"/>
  <c r="E15" i="11"/>
  <c r="G7" i="11"/>
  <c r="F7" i="11"/>
  <c r="E7" i="11"/>
  <c r="I112" i="11"/>
  <c r="J112" i="11"/>
  <c r="K112" i="11"/>
  <c r="D123" i="11"/>
  <c r="D112" i="11"/>
  <c r="D83" i="11"/>
  <c r="D79" i="11"/>
  <c r="D75" i="11"/>
  <c r="D69" i="11"/>
  <c r="D64" i="11"/>
  <c r="D59" i="11"/>
  <c r="D50" i="11"/>
  <c r="D45" i="11"/>
  <c r="D34" i="11"/>
  <c r="D23" i="11"/>
  <c r="D21" i="11"/>
  <c r="D19" i="11"/>
  <c r="D15" i="11"/>
  <c r="D7" i="11"/>
  <c r="D50" i="13"/>
  <c r="O44" i="13"/>
  <c r="D57" i="13"/>
  <c r="O51" i="13"/>
  <c r="M69" i="11"/>
  <c r="M45" i="11"/>
  <c r="M19" i="11"/>
  <c r="M83" i="11"/>
  <c r="M64" i="11"/>
  <c r="M34" i="11"/>
  <c r="M15" i="11"/>
  <c r="M79" i="11"/>
  <c r="M59" i="11"/>
  <c r="M23" i="11"/>
  <c r="M7" i="11"/>
  <c r="M120" i="11"/>
  <c r="M75" i="11"/>
  <c r="M50" i="11"/>
  <c r="M21" i="11"/>
  <c r="H112" i="11"/>
  <c r="H69" i="11"/>
  <c r="H45" i="11"/>
  <c r="H15" i="11"/>
  <c r="H79" i="11"/>
  <c r="H21" i="11"/>
  <c r="H75" i="11"/>
  <c r="H19" i="11"/>
  <c r="H83" i="11"/>
  <c r="H64" i="11"/>
  <c r="H34" i="11"/>
  <c r="H7" i="11"/>
  <c r="H59" i="11"/>
  <c r="H120" i="11"/>
  <c r="H50" i="11"/>
  <c r="C17" i="12"/>
  <c r="D17" i="12"/>
  <c r="E17" i="12"/>
  <c r="E18" i="12"/>
  <c r="E19" i="12"/>
  <c r="E20" i="12"/>
  <c r="E16" i="12"/>
  <c r="F17" i="12"/>
  <c r="F18" i="12"/>
  <c r="F19" i="12"/>
  <c r="F20" i="12"/>
  <c r="F16" i="12"/>
  <c r="G17" i="12"/>
  <c r="H17" i="12"/>
  <c r="I17" i="12"/>
  <c r="I18" i="12"/>
  <c r="I19" i="12"/>
  <c r="I20" i="12"/>
  <c r="I16" i="12"/>
  <c r="J17" i="12"/>
  <c r="J18" i="12"/>
  <c r="J19" i="12"/>
  <c r="J20" i="12"/>
  <c r="J16" i="12"/>
  <c r="K17" i="12"/>
  <c r="C18" i="12"/>
  <c r="D18" i="12"/>
  <c r="G18" i="12"/>
  <c r="H18" i="12"/>
  <c r="K18" i="12"/>
  <c r="L18" i="12"/>
  <c r="M18" i="12"/>
  <c r="C19" i="12"/>
  <c r="D19" i="12"/>
  <c r="G19" i="12"/>
  <c r="H19" i="12"/>
  <c r="K19" i="12"/>
  <c r="L19" i="12"/>
  <c r="M19" i="12"/>
  <c r="G20" i="12"/>
  <c r="G16" i="12"/>
  <c r="K20" i="12"/>
  <c r="K16" i="12"/>
  <c r="C20" i="12"/>
  <c r="D20" i="12"/>
  <c r="D16" i="12"/>
  <c r="H20" i="12"/>
  <c r="H16" i="12"/>
  <c r="L20" i="12"/>
  <c r="M20" i="12"/>
  <c r="M21" i="12"/>
  <c r="M22" i="12"/>
  <c r="M23" i="12"/>
  <c r="AG125" i="10"/>
  <c r="AG122" i="10"/>
  <c r="AG121" i="10"/>
  <c r="AG120" i="10"/>
  <c r="AG116" i="10"/>
  <c r="AG115" i="10"/>
  <c r="AG114" i="10"/>
  <c r="AG113" i="10"/>
  <c r="AG112" i="10"/>
  <c r="AG111" i="10"/>
  <c r="AG110" i="10"/>
  <c r="AG109" i="10"/>
  <c r="AG108" i="10"/>
  <c r="AG107" i="10"/>
  <c r="AG106" i="10"/>
  <c r="AG105" i="10"/>
  <c r="AG104" i="10"/>
  <c r="AG103" i="10"/>
  <c r="AG102" i="10"/>
  <c r="AG101" i="10"/>
  <c r="AG100" i="10"/>
  <c r="AG99" i="10"/>
  <c r="AG98" i="10"/>
  <c r="AG97" i="10"/>
  <c r="AG96" i="10"/>
  <c r="AG95" i="10"/>
  <c r="AG94" i="10"/>
  <c r="AG93" i="10"/>
  <c r="AG92" i="10"/>
  <c r="AG91" i="10"/>
  <c r="AG90" i="10"/>
  <c r="AG89" i="10"/>
  <c r="AG88" i="10"/>
  <c r="AG87" i="10"/>
  <c r="AG86" i="10"/>
  <c r="AG85" i="10"/>
  <c r="AG84" i="10"/>
  <c r="AG83" i="10"/>
  <c r="AG82" i="10"/>
  <c r="AG81" i="10"/>
  <c r="AG80" i="10"/>
  <c r="AG79" i="10"/>
  <c r="AG78" i="10"/>
  <c r="AG77" i="10"/>
  <c r="AG76" i="10"/>
  <c r="AG75" i="10"/>
  <c r="AG74" i="10"/>
  <c r="AG73" i="10"/>
  <c r="AG72" i="10"/>
  <c r="AG71" i="10"/>
  <c r="AG70" i="10"/>
  <c r="AG67" i="10"/>
  <c r="AG69" i="10"/>
  <c r="AG68" i="10"/>
  <c r="AG66" i="10"/>
  <c r="AG65" i="10"/>
  <c r="AG64" i="10"/>
  <c r="AG63" i="10"/>
  <c r="AG62" i="10"/>
  <c r="AG61" i="10"/>
  <c r="AG60" i="10"/>
  <c r="AG59" i="10"/>
  <c r="AG58" i="10"/>
  <c r="AG57" i="10"/>
  <c r="AG56" i="10"/>
  <c r="AG55" i="10"/>
  <c r="AG54" i="10"/>
  <c r="AG53" i="10"/>
  <c r="AG52" i="10"/>
  <c r="AG51" i="10"/>
  <c r="AG50" i="10"/>
  <c r="AG48" i="10"/>
  <c r="AG49" i="10"/>
  <c r="AG47" i="10"/>
  <c r="AG46" i="10"/>
  <c r="AG43" i="10"/>
  <c r="AG45" i="10"/>
  <c r="AG44" i="10"/>
  <c r="AG42" i="10"/>
  <c r="AG41" i="10"/>
  <c r="AG40" i="10"/>
  <c r="AG39" i="10"/>
  <c r="AG38" i="10"/>
  <c r="AG37" i="10"/>
  <c r="AG36" i="10"/>
  <c r="AG35" i="10"/>
  <c r="AG34" i="10"/>
  <c r="AG33" i="10"/>
  <c r="AG32" i="10"/>
  <c r="AG30" i="10"/>
  <c r="AG29" i="10"/>
  <c r="AG28" i="10"/>
  <c r="AG27" i="10"/>
  <c r="AG26" i="10"/>
  <c r="AG25" i="10"/>
  <c r="AG23" i="10"/>
  <c r="AG24" i="10"/>
  <c r="AG22" i="10"/>
  <c r="AG21" i="10"/>
  <c r="AG20" i="10"/>
  <c r="AG19" i="10"/>
  <c r="AG18" i="10"/>
  <c r="AG17" i="10"/>
  <c r="AG15" i="10"/>
  <c r="AG16" i="10"/>
  <c r="AG13" i="10"/>
  <c r="AG12" i="10"/>
  <c r="AG11" i="10"/>
  <c r="AG10" i="10"/>
  <c r="AG9" i="10"/>
  <c r="AG8" i="10"/>
  <c r="AG7" i="10"/>
  <c r="AA125" i="10"/>
  <c r="AA120" i="10"/>
  <c r="AA116" i="10"/>
  <c r="AA115" i="10"/>
  <c r="AA114" i="10"/>
  <c r="AA113" i="10"/>
  <c r="AA112" i="10"/>
  <c r="AA111" i="10"/>
  <c r="AA110" i="10"/>
  <c r="AA109" i="10"/>
  <c r="AA108" i="10"/>
  <c r="AA107" i="10"/>
  <c r="AA106" i="10"/>
  <c r="AA105" i="10"/>
  <c r="AA104" i="10"/>
  <c r="AA103" i="10"/>
  <c r="AA102" i="10"/>
  <c r="AA101" i="10"/>
  <c r="AA100" i="10"/>
  <c r="AA99" i="10"/>
  <c r="AA98" i="10"/>
  <c r="AA97" i="10"/>
  <c r="AA96" i="10"/>
  <c r="AA95" i="10"/>
  <c r="AA94" i="10"/>
  <c r="AA93" i="10"/>
  <c r="AA92" i="10"/>
  <c r="AA91" i="10"/>
  <c r="AA90" i="10"/>
  <c r="AA89" i="10"/>
  <c r="AA88" i="10"/>
  <c r="AA87" i="10"/>
  <c r="AA86" i="10"/>
  <c r="AA85" i="10"/>
  <c r="AA84" i="10"/>
  <c r="AA83" i="10"/>
  <c r="AA82" i="10"/>
  <c r="AA81" i="10"/>
  <c r="AA80" i="10"/>
  <c r="AA79" i="10"/>
  <c r="AA78" i="10"/>
  <c r="AA77" i="10"/>
  <c r="AA76" i="10"/>
  <c r="AA75" i="10"/>
  <c r="AA74" i="10"/>
  <c r="AA73" i="10"/>
  <c r="AA72" i="10"/>
  <c r="AA71" i="10"/>
  <c r="AA70" i="10"/>
  <c r="AA69" i="10"/>
  <c r="AA68" i="10"/>
  <c r="AA67" i="10"/>
  <c r="AA66" i="10"/>
  <c r="AA65" i="10"/>
  <c r="AA64" i="10"/>
  <c r="AA63" i="10"/>
  <c r="AA62" i="10"/>
  <c r="AA61" i="10"/>
  <c r="AA60" i="10"/>
  <c r="AA59" i="10"/>
  <c r="AA58" i="10"/>
  <c r="AA57" i="10"/>
  <c r="AA56" i="10"/>
  <c r="AA55" i="10"/>
  <c r="AA54" i="10"/>
  <c r="AA53" i="10"/>
  <c r="AA52" i="10"/>
  <c r="AA51" i="10"/>
  <c r="AA50" i="10"/>
  <c r="AA49" i="10"/>
  <c r="AA48" i="10"/>
  <c r="AA47" i="10"/>
  <c r="AA46" i="10"/>
  <c r="AA45" i="10"/>
  <c r="AA44" i="10"/>
  <c r="AA43" i="10"/>
  <c r="AA42" i="10"/>
  <c r="AA41" i="10"/>
  <c r="AA40" i="10"/>
  <c r="AA39" i="10"/>
  <c r="AA38" i="10"/>
  <c r="AA37" i="10"/>
  <c r="AA36" i="10"/>
  <c r="AA35" i="10"/>
  <c r="AA34" i="10"/>
  <c r="AA33" i="10"/>
  <c r="AA32" i="10"/>
  <c r="AA31" i="10"/>
  <c r="AA30" i="10"/>
  <c r="AA29" i="10"/>
  <c r="AA28" i="10"/>
  <c r="AA27" i="10"/>
  <c r="AA26" i="10"/>
  <c r="AA25" i="10"/>
  <c r="AA24" i="10"/>
  <c r="AA23" i="10"/>
  <c r="AA22" i="10"/>
  <c r="AA21" i="10"/>
  <c r="AA20" i="10"/>
  <c r="AA19" i="10"/>
  <c r="AA18" i="10"/>
  <c r="AA17" i="10"/>
  <c r="AA16" i="10"/>
  <c r="AA15" i="10"/>
  <c r="AA14" i="10"/>
  <c r="AA13" i="10"/>
  <c r="AA12" i="10"/>
  <c r="AA11" i="10"/>
  <c r="AA10" i="10"/>
  <c r="AA9" i="10"/>
  <c r="AA8" i="10"/>
  <c r="AA7" i="10"/>
  <c r="V120" i="10"/>
  <c r="V109" i="10"/>
  <c r="V81" i="10"/>
  <c r="V77" i="10"/>
  <c r="V73" i="10"/>
  <c r="V67" i="10"/>
  <c r="V62" i="10"/>
  <c r="V57" i="10"/>
  <c r="V48" i="10"/>
  <c r="V118" i="10"/>
  <c r="V123" i="10"/>
  <c r="V127" i="10"/>
  <c r="V43" i="10"/>
  <c r="V33" i="10"/>
  <c r="V23" i="10"/>
  <c r="V21" i="10"/>
  <c r="V19" i="10"/>
  <c r="V15" i="10"/>
  <c r="V7" i="10"/>
  <c r="Q120" i="10"/>
  <c r="Q109" i="10"/>
  <c r="Q81" i="10"/>
  <c r="Q77" i="10"/>
  <c r="Q73" i="10"/>
  <c r="Q67" i="10"/>
  <c r="Q64" i="10"/>
  <c r="Q63" i="10"/>
  <c r="Q62" i="10"/>
  <c r="Q57" i="10"/>
  <c r="Q48" i="10"/>
  <c r="Q43" i="10"/>
  <c r="Q33" i="10"/>
  <c r="Q23" i="10"/>
  <c r="Q21" i="10"/>
  <c r="Q19" i="10"/>
  <c r="Q17" i="10"/>
  <c r="Q15" i="10"/>
  <c r="Q7" i="10"/>
  <c r="L120" i="10"/>
  <c r="L109" i="10"/>
  <c r="L118" i="10"/>
  <c r="L123" i="10"/>
  <c r="L127" i="10"/>
  <c r="L81" i="10"/>
  <c r="L77" i="10"/>
  <c r="L73" i="10"/>
  <c r="L67" i="10"/>
  <c r="L62" i="10"/>
  <c r="L57" i="10"/>
  <c r="L48" i="10"/>
  <c r="L43" i="10"/>
  <c r="L33" i="10"/>
  <c r="L23" i="10"/>
  <c r="L21" i="10"/>
  <c r="L19" i="10"/>
  <c r="L17" i="10"/>
  <c r="L15" i="10"/>
  <c r="L7" i="10"/>
  <c r="G120" i="10"/>
  <c r="G109" i="10"/>
  <c r="G118" i="10"/>
  <c r="G123" i="10"/>
  <c r="G127" i="10"/>
  <c r="G81" i="10"/>
  <c r="G77" i="10"/>
  <c r="G73" i="10"/>
  <c r="G67" i="10"/>
  <c r="G62" i="10"/>
  <c r="G57" i="10"/>
  <c r="G48" i="10"/>
  <c r="G43" i="10"/>
  <c r="G33" i="10"/>
  <c r="G23" i="10"/>
  <c r="G21" i="10"/>
  <c r="G19" i="10"/>
  <c r="G17" i="10"/>
  <c r="G15" i="10"/>
  <c r="G7" i="10"/>
  <c r="D63" i="13"/>
  <c r="O57" i="13"/>
  <c r="D56" i="13"/>
  <c r="O50" i="13"/>
  <c r="L17" i="12"/>
  <c r="C16" i="12"/>
  <c r="AG118" i="10"/>
  <c r="AG123" i="10"/>
  <c r="AG127" i="10"/>
  <c r="AA118" i="10"/>
  <c r="AA123" i="10"/>
  <c r="AA127" i="10"/>
  <c r="Q118" i="10"/>
  <c r="Q123" i="10"/>
  <c r="Q127" i="10"/>
  <c r="D62" i="13"/>
  <c r="O56" i="13"/>
  <c r="D69" i="13"/>
  <c r="O69" i="13"/>
  <c r="O63" i="13"/>
  <c r="L16" i="12"/>
  <c r="M17" i="12"/>
  <c r="M16" i="12"/>
  <c r="D68" i="13"/>
  <c r="O68" i="13"/>
  <c r="O62" i="13"/>
  <c r="M33" i="12"/>
  <c r="M45" i="12"/>
  <c r="M62" i="12"/>
  <c r="M74" i="12"/>
  <c r="M86" i="12"/>
  <c r="M98" i="12"/>
  <c r="M110" i="12"/>
  <c r="M122" i="12"/>
  <c r="M134" i="12"/>
  <c r="M34" i="12"/>
  <c r="M46" i="12"/>
  <c r="M63" i="12"/>
  <c r="M75" i="12"/>
  <c r="M87" i="12"/>
  <c r="M99" i="12"/>
  <c r="M111" i="12"/>
  <c r="M123" i="12"/>
  <c r="M135" i="12"/>
  <c r="J60" i="12"/>
  <c r="J72" i="12"/>
  <c r="I60" i="12"/>
  <c r="I72" i="12"/>
  <c r="I84" i="12"/>
  <c r="I96" i="12"/>
  <c r="I108" i="12"/>
  <c r="I120" i="12"/>
  <c r="I132" i="12"/>
  <c r="J59" i="12"/>
  <c r="J71" i="12"/>
  <c r="J83" i="12"/>
  <c r="J95" i="12"/>
  <c r="J107" i="12"/>
  <c r="J119" i="12"/>
  <c r="J131" i="12"/>
  <c r="I59" i="12"/>
  <c r="I71" i="12"/>
  <c r="I83" i="12"/>
  <c r="I95" i="12"/>
  <c r="I107" i="12"/>
  <c r="I119" i="12"/>
  <c r="I131" i="12"/>
  <c r="C59" i="12"/>
  <c r="C71" i="12"/>
  <c r="K61" i="12"/>
  <c r="K73" i="12"/>
  <c r="K85" i="12"/>
  <c r="K97" i="12"/>
  <c r="K109" i="12"/>
  <c r="K121" i="12"/>
  <c r="K133" i="12"/>
  <c r="J61" i="12"/>
  <c r="J73" i="12"/>
  <c r="J85" i="12"/>
  <c r="J97" i="12"/>
  <c r="J109" i="12"/>
  <c r="J121" i="12"/>
  <c r="J133" i="12"/>
  <c r="I61" i="12"/>
  <c r="I73" i="12"/>
  <c r="I85" i="12"/>
  <c r="I97" i="12"/>
  <c r="I109" i="12"/>
  <c r="I121" i="12"/>
  <c r="I133" i="12"/>
  <c r="F73" i="12"/>
  <c r="F85" i="12"/>
  <c r="F97" i="12"/>
  <c r="F109" i="12"/>
  <c r="F121" i="12"/>
  <c r="F133" i="12"/>
  <c r="D73" i="12"/>
  <c r="D85" i="12"/>
  <c r="D97" i="12"/>
  <c r="D109" i="12"/>
  <c r="D121" i="12"/>
  <c r="D133" i="12"/>
  <c r="K60" i="12"/>
  <c r="K72" i="12"/>
  <c r="K84" i="12"/>
  <c r="K96" i="12"/>
  <c r="K108" i="12"/>
  <c r="K120" i="12"/>
  <c r="K132" i="12"/>
  <c r="F60" i="12"/>
  <c r="F72" i="12"/>
  <c r="K59" i="12"/>
  <c r="K71" i="12"/>
  <c r="K83" i="12"/>
  <c r="K95" i="12"/>
  <c r="K107" i="12"/>
  <c r="K119" i="12"/>
  <c r="K131" i="12"/>
  <c r="F59" i="12"/>
  <c r="F71" i="12"/>
  <c r="F83" i="12"/>
  <c r="F95" i="12"/>
  <c r="F107" i="12"/>
  <c r="F119" i="12"/>
  <c r="F131" i="12"/>
  <c r="D59" i="12"/>
  <c r="D71" i="12"/>
  <c r="D83" i="12"/>
  <c r="D95" i="12"/>
  <c r="D107" i="12"/>
  <c r="D119" i="12"/>
  <c r="D131" i="12"/>
  <c r="K58" i="12"/>
  <c r="J58" i="12"/>
  <c r="J57" i="12"/>
  <c r="I58" i="12"/>
  <c r="F58" i="12"/>
  <c r="F70" i="12"/>
  <c r="F82" i="12"/>
  <c r="L41" i="12"/>
  <c r="G73" i="12"/>
  <c r="G85" i="12"/>
  <c r="G97" i="12"/>
  <c r="G109" i="12"/>
  <c r="G121" i="12"/>
  <c r="G133" i="12"/>
  <c r="G60" i="12"/>
  <c r="G72" i="12"/>
  <c r="G84" i="12"/>
  <c r="G96" i="12"/>
  <c r="G108" i="12"/>
  <c r="G120" i="12"/>
  <c r="G132" i="12"/>
  <c r="G59" i="12"/>
  <c r="G71" i="12"/>
  <c r="G58" i="12"/>
  <c r="G70" i="12"/>
  <c r="G82" i="12"/>
  <c r="G94" i="12"/>
  <c r="G106" i="12"/>
  <c r="E73" i="12"/>
  <c r="E85" i="12"/>
  <c r="E97" i="12"/>
  <c r="E109" i="12"/>
  <c r="E121" i="12"/>
  <c r="E133" i="12"/>
  <c r="E60" i="12"/>
  <c r="E72" i="12"/>
  <c r="E84" i="12"/>
  <c r="E96" i="12"/>
  <c r="E108" i="12"/>
  <c r="E120" i="12"/>
  <c r="E132" i="12"/>
  <c r="E59" i="12"/>
  <c r="E71" i="12"/>
  <c r="E83" i="12"/>
  <c r="E95" i="12"/>
  <c r="E107" i="12"/>
  <c r="E119" i="12"/>
  <c r="E131" i="12"/>
  <c r="D60" i="12"/>
  <c r="D72" i="12"/>
  <c r="D84" i="12"/>
  <c r="D96" i="12"/>
  <c r="D108" i="12"/>
  <c r="D120" i="12"/>
  <c r="D132" i="12"/>
  <c r="D58" i="12"/>
  <c r="C60" i="12"/>
  <c r="C72" i="12"/>
  <c r="L42" i="12"/>
  <c r="M42" i="12"/>
  <c r="C58" i="12"/>
  <c r="C70" i="12"/>
  <c r="C69" i="12"/>
  <c r="G57" i="12"/>
  <c r="C5" i="12"/>
  <c r="M11" i="12"/>
  <c r="M10" i="12"/>
  <c r="M9" i="12"/>
  <c r="M35" i="12"/>
  <c r="L32" i="12"/>
  <c r="M32" i="12"/>
  <c r="L31" i="12"/>
  <c r="M31" i="12"/>
  <c r="H69" i="12"/>
  <c r="J70" i="12"/>
  <c r="J82" i="12"/>
  <c r="J94" i="12"/>
  <c r="K57" i="12"/>
  <c r="K70" i="12"/>
  <c r="H57" i="12"/>
  <c r="I57" i="12"/>
  <c r="I70" i="12"/>
  <c r="J84" i="12"/>
  <c r="D70" i="12"/>
  <c r="L71" i="12"/>
  <c r="M71" i="12"/>
  <c r="F57" i="12"/>
  <c r="G118" i="12"/>
  <c r="F69" i="12"/>
  <c r="F84" i="12"/>
  <c r="F96" i="12"/>
  <c r="F108" i="12"/>
  <c r="F120" i="12"/>
  <c r="F132" i="12"/>
  <c r="L73" i="12"/>
  <c r="M73" i="12"/>
  <c r="C85" i="12"/>
  <c r="C84" i="12"/>
  <c r="L72" i="12"/>
  <c r="M72" i="12"/>
  <c r="G69" i="12"/>
  <c r="G83" i="12"/>
  <c r="L43" i="12"/>
  <c r="M43" i="12"/>
  <c r="F94" i="12"/>
  <c r="C82" i="12"/>
  <c r="E58" i="12"/>
  <c r="L58" i="12"/>
  <c r="M58" i="12"/>
  <c r="C83" i="12"/>
  <c r="L59" i="12"/>
  <c r="M59" i="12"/>
  <c r="L60" i="12"/>
  <c r="M60" i="12"/>
  <c r="D57" i="12"/>
  <c r="L61" i="12"/>
  <c r="M61" i="12"/>
  <c r="C57" i="12"/>
  <c r="L30" i="12"/>
  <c r="M30" i="12"/>
  <c r="L29" i="12"/>
  <c r="M7" i="10"/>
  <c r="M15" i="10"/>
  <c r="M19" i="10"/>
  <c r="M21" i="10"/>
  <c r="M23" i="10"/>
  <c r="M33" i="10"/>
  <c r="M43" i="10"/>
  <c r="M48" i="10"/>
  <c r="M57" i="10"/>
  <c r="M62" i="10"/>
  <c r="M67" i="10"/>
  <c r="M77" i="10"/>
  <c r="M81" i="10"/>
  <c r="M109" i="10"/>
  <c r="M120" i="10"/>
  <c r="M130" i="10"/>
  <c r="R7" i="10"/>
  <c r="R15" i="10"/>
  <c r="R19" i="10"/>
  <c r="R21" i="10"/>
  <c r="R23" i="10"/>
  <c r="R33" i="10"/>
  <c r="R43" i="10"/>
  <c r="R48" i="10"/>
  <c r="R57" i="10"/>
  <c r="R62" i="10"/>
  <c r="R77" i="10"/>
  <c r="R81" i="10"/>
  <c r="R109" i="10"/>
  <c r="R120" i="10"/>
  <c r="R125" i="10"/>
  <c r="R130" i="10"/>
  <c r="C81" i="12"/>
  <c r="J106" i="12"/>
  <c r="J81" i="12"/>
  <c r="J96" i="12"/>
  <c r="J108" i="12"/>
  <c r="J120" i="12"/>
  <c r="J132" i="12"/>
  <c r="J69" i="12"/>
  <c r="H81" i="12"/>
  <c r="I69" i="12"/>
  <c r="I82" i="12"/>
  <c r="K82" i="12"/>
  <c r="K69" i="12"/>
  <c r="L83" i="12"/>
  <c r="M83" i="12"/>
  <c r="C95" i="12"/>
  <c r="C94" i="12"/>
  <c r="G81" i="12"/>
  <c r="G95" i="12"/>
  <c r="L84" i="12"/>
  <c r="M84" i="12"/>
  <c r="C96" i="12"/>
  <c r="E70" i="12"/>
  <c r="E57" i="12"/>
  <c r="F93" i="12"/>
  <c r="F106" i="12"/>
  <c r="L85" i="12"/>
  <c r="M85" i="12"/>
  <c r="C97" i="12"/>
  <c r="F81" i="12"/>
  <c r="G130" i="12"/>
  <c r="D82" i="12"/>
  <c r="D69" i="12"/>
  <c r="L57" i="12"/>
  <c r="M57" i="12"/>
  <c r="M41" i="12"/>
  <c r="M29" i="12"/>
  <c r="M28" i="12"/>
  <c r="AD109" i="10"/>
  <c r="W109" i="10"/>
  <c r="U109" i="10"/>
  <c r="T109" i="10"/>
  <c r="S109" i="10"/>
  <c r="P109" i="10"/>
  <c r="O109" i="10"/>
  <c r="N109" i="10"/>
  <c r="K109" i="10"/>
  <c r="J109" i="10"/>
  <c r="I109" i="10"/>
  <c r="H109" i="10"/>
  <c r="F109" i="10"/>
  <c r="E109" i="10"/>
  <c r="AD81" i="10"/>
  <c r="W81" i="10"/>
  <c r="U81" i="10"/>
  <c r="T81" i="10"/>
  <c r="S81" i="10"/>
  <c r="P81" i="10"/>
  <c r="O81" i="10"/>
  <c r="G7" i="12"/>
  <c r="N81" i="10"/>
  <c r="K81" i="10"/>
  <c r="J81" i="10"/>
  <c r="I81" i="10"/>
  <c r="H81" i="10"/>
  <c r="F81" i="10"/>
  <c r="E81" i="10"/>
  <c r="AD77" i="10"/>
  <c r="W77" i="10"/>
  <c r="U77" i="10"/>
  <c r="T77" i="10"/>
  <c r="J8" i="12"/>
  <c r="S77" i="10"/>
  <c r="P77" i="10"/>
  <c r="O77" i="10"/>
  <c r="J7" i="12"/>
  <c r="N77" i="10"/>
  <c r="K77" i="10"/>
  <c r="J77" i="10"/>
  <c r="J6" i="12"/>
  <c r="I77" i="10"/>
  <c r="H77" i="10"/>
  <c r="F77" i="10"/>
  <c r="E77" i="10"/>
  <c r="J5" i="12"/>
  <c r="AD73" i="10"/>
  <c r="W73" i="10"/>
  <c r="U73" i="10"/>
  <c r="T73" i="10"/>
  <c r="I8" i="12"/>
  <c r="S73" i="10"/>
  <c r="P73" i="10"/>
  <c r="O73" i="10"/>
  <c r="I7" i="12"/>
  <c r="N73" i="10"/>
  <c r="K73" i="10"/>
  <c r="J73" i="10"/>
  <c r="I6" i="12"/>
  <c r="I73" i="10"/>
  <c r="F73" i="10"/>
  <c r="E73" i="10"/>
  <c r="I5" i="12"/>
  <c r="AD67" i="10"/>
  <c r="W67" i="10"/>
  <c r="U67" i="10"/>
  <c r="T67" i="10"/>
  <c r="H8" i="12"/>
  <c r="S67" i="10"/>
  <c r="P67" i="10"/>
  <c r="O67" i="10"/>
  <c r="H7" i="12"/>
  <c r="N67" i="10"/>
  <c r="K67" i="10"/>
  <c r="J67" i="10"/>
  <c r="H6" i="12"/>
  <c r="I67" i="10"/>
  <c r="F67" i="10"/>
  <c r="E67" i="10"/>
  <c r="H5" i="12"/>
  <c r="AD62" i="10"/>
  <c r="W62" i="10"/>
  <c r="U62" i="10"/>
  <c r="T62" i="10"/>
  <c r="K8" i="12"/>
  <c r="S62" i="10"/>
  <c r="P62" i="10"/>
  <c r="O62" i="10"/>
  <c r="K7" i="12"/>
  <c r="N62" i="10"/>
  <c r="K62" i="10"/>
  <c r="J62" i="10"/>
  <c r="K6" i="12"/>
  <c r="I62" i="10"/>
  <c r="H62" i="10"/>
  <c r="F62" i="10"/>
  <c r="E62" i="10"/>
  <c r="K5" i="12"/>
  <c r="AD57" i="10"/>
  <c r="W57" i="10"/>
  <c r="U57" i="10"/>
  <c r="T57" i="10"/>
  <c r="F8" i="12"/>
  <c r="S57" i="10"/>
  <c r="P57" i="10"/>
  <c r="O57" i="10"/>
  <c r="F7" i="12"/>
  <c r="N57" i="10"/>
  <c r="K57" i="10"/>
  <c r="J57" i="10"/>
  <c r="F6" i="12"/>
  <c r="I57" i="10"/>
  <c r="H57" i="10"/>
  <c r="F57" i="10"/>
  <c r="E57" i="10"/>
  <c r="F5" i="12"/>
  <c r="AD48" i="10"/>
  <c r="W48" i="10"/>
  <c r="U48" i="10"/>
  <c r="T48" i="10"/>
  <c r="S48" i="10"/>
  <c r="P48" i="10"/>
  <c r="O48" i="10"/>
  <c r="N48" i="10"/>
  <c r="K48" i="10"/>
  <c r="J48" i="10"/>
  <c r="I48" i="10"/>
  <c r="H48" i="10"/>
  <c r="F48" i="10"/>
  <c r="E48" i="10"/>
  <c r="AD43" i="10"/>
  <c r="W43" i="10"/>
  <c r="U43" i="10"/>
  <c r="T43" i="10"/>
  <c r="S43" i="10"/>
  <c r="P43" i="10"/>
  <c r="O43" i="10"/>
  <c r="N43" i="10"/>
  <c r="K43" i="10"/>
  <c r="J43" i="10"/>
  <c r="I43" i="10"/>
  <c r="H43" i="10"/>
  <c r="F43" i="10"/>
  <c r="E43" i="10"/>
  <c r="AD33" i="10"/>
  <c r="W33" i="10"/>
  <c r="U33" i="10"/>
  <c r="T33" i="10"/>
  <c r="S33" i="10"/>
  <c r="P33" i="10"/>
  <c r="O33" i="10"/>
  <c r="N33" i="10"/>
  <c r="K33" i="10"/>
  <c r="J33" i="10"/>
  <c r="I33" i="10"/>
  <c r="H33" i="10"/>
  <c r="F33" i="10"/>
  <c r="E33" i="10"/>
  <c r="AD23" i="10"/>
  <c r="W23" i="10"/>
  <c r="U23" i="10"/>
  <c r="T23" i="10"/>
  <c r="S23" i="10"/>
  <c r="P23" i="10"/>
  <c r="O23" i="10"/>
  <c r="D7" i="12"/>
  <c r="N23" i="10"/>
  <c r="K23" i="10"/>
  <c r="J23" i="10"/>
  <c r="I23" i="10"/>
  <c r="H23" i="10"/>
  <c r="F23" i="10"/>
  <c r="E23" i="10"/>
  <c r="AF21" i="10"/>
  <c r="AE21" i="10"/>
  <c r="AD21" i="10"/>
  <c r="AC21" i="10"/>
  <c r="Z21" i="10"/>
  <c r="Y21" i="10"/>
  <c r="X21" i="10"/>
  <c r="W21" i="10"/>
  <c r="U21" i="10"/>
  <c r="T21" i="10"/>
  <c r="S21" i="10"/>
  <c r="P21" i="10"/>
  <c r="O21" i="10"/>
  <c r="N21" i="10"/>
  <c r="K21" i="10"/>
  <c r="J21" i="10"/>
  <c r="I21" i="10"/>
  <c r="H21" i="10"/>
  <c r="F21" i="10"/>
  <c r="E21" i="10"/>
  <c r="AD19" i="10"/>
  <c r="AC19" i="10"/>
  <c r="X19" i="10"/>
  <c r="W19" i="10"/>
  <c r="U19" i="10"/>
  <c r="T19" i="10"/>
  <c r="S19" i="10"/>
  <c r="P19" i="10"/>
  <c r="O19" i="10"/>
  <c r="N19" i="10"/>
  <c r="K19" i="10"/>
  <c r="J19" i="10"/>
  <c r="I19" i="10"/>
  <c r="H19" i="10"/>
  <c r="F19" i="10"/>
  <c r="E19" i="10"/>
  <c r="AD15" i="10"/>
  <c r="W15" i="10"/>
  <c r="U15" i="10"/>
  <c r="T15" i="10"/>
  <c r="S15" i="10"/>
  <c r="P15" i="10"/>
  <c r="O15" i="10"/>
  <c r="N15" i="10"/>
  <c r="K15" i="10"/>
  <c r="J15" i="10"/>
  <c r="I15" i="10"/>
  <c r="H15" i="10"/>
  <c r="F15" i="10"/>
  <c r="E15" i="10"/>
  <c r="AD7" i="10"/>
  <c r="AC7" i="10"/>
  <c r="X7" i="10"/>
  <c r="W7" i="10"/>
  <c r="U7" i="10"/>
  <c r="T7" i="10"/>
  <c r="S7" i="10"/>
  <c r="P7" i="10"/>
  <c r="O7" i="10"/>
  <c r="N7" i="10"/>
  <c r="K7" i="10"/>
  <c r="J7" i="10"/>
  <c r="I7" i="10"/>
  <c r="H7" i="10"/>
  <c r="F7" i="10"/>
  <c r="E7" i="10"/>
  <c r="K81" i="12"/>
  <c r="K94" i="12"/>
  <c r="J118" i="12"/>
  <c r="J105" i="12"/>
  <c r="H93" i="12"/>
  <c r="I81" i="12"/>
  <c r="I94" i="12"/>
  <c r="J93" i="12"/>
  <c r="E69" i="12"/>
  <c r="E82" i="12"/>
  <c r="L70" i="12"/>
  <c r="F105" i="12"/>
  <c r="F118" i="12"/>
  <c r="C108" i="12"/>
  <c r="L96" i="12"/>
  <c r="M96" i="12"/>
  <c r="C106" i="12"/>
  <c r="C93" i="12"/>
  <c r="D81" i="12"/>
  <c r="D94" i="12"/>
  <c r="C109" i="12"/>
  <c r="L97" i="12"/>
  <c r="M97" i="12"/>
  <c r="G107" i="12"/>
  <c r="G93" i="12"/>
  <c r="L95" i="12"/>
  <c r="M95" i="12"/>
  <c r="C107" i="12"/>
  <c r="E7" i="12"/>
  <c r="H4" i="12"/>
  <c r="F118" i="10"/>
  <c r="K118" i="10"/>
  <c r="C8" i="12"/>
  <c r="C6" i="12"/>
  <c r="D5" i="12"/>
  <c r="D6" i="12"/>
  <c r="E5" i="12"/>
  <c r="E6" i="12"/>
  <c r="G5" i="12"/>
  <c r="G6" i="12"/>
  <c r="R71" i="10"/>
  <c r="R68" i="10"/>
  <c r="R72" i="10"/>
  <c r="R69" i="10"/>
  <c r="R70" i="10"/>
  <c r="AD118" i="10"/>
  <c r="F4" i="12"/>
  <c r="P118" i="10"/>
  <c r="R76" i="10"/>
  <c r="R74" i="10"/>
  <c r="R75" i="10"/>
  <c r="W118" i="10"/>
  <c r="T118" i="10"/>
  <c r="C7" i="12"/>
  <c r="I118" i="10"/>
  <c r="I4" i="12"/>
  <c r="M75" i="10"/>
  <c r="M76" i="10"/>
  <c r="M74" i="10"/>
  <c r="S118" i="10"/>
  <c r="O118" i="10"/>
  <c r="D8" i="12"/>
  <c r="E8" i="12"/>
  <c r="K4" i="12"/>
  <c r="U118" i="10"/>
  <c r="N118" i="10"/>
  <c r="J4" i="12"/>
  <c r="G8" i="12"/>
  <c r="J118" i="10"/>
  <c r="E118" i="10"/>
  <c r="D109" i="10"/>
  <c r="D62" i="10"/>
  <c r="D33" i="10"/>
  <c r="D23" i="10"/>
  <c r="J130" i="12"/>
  <c r="J129" i="12"/>
  <c r="J117" i="12"/>
  <c r="H105" i="12"/>
  <c r="K106" i="12"/>
  <c r="K93" i="12"/>
  <c r="I106" i="12"/>
  <c r="I93" i="12"/>
  <c r="G119" i="12"/>
  <c r="G105" i="12"/>
  <c r="D106" i="12"/>
  <c r="D93" i="12"/>
  <c r="C119" i="12"/>
  <c r="L107" i="12"/>
  <c r="M107" i="12"/>
  <c r="L69" i="12"/>
  <c r="M70" i="12"/>
  <c r="M69" i="12"/>
  <c r="C121" i="12"/>
  <c r="L109" i="12"/>
  <c r="M109" i="12"/>
  <c r="C120" i="12"/>
  <c r="L108" i="12"/>
  <c r="M108" i="12"/>
  <c r="E81" i="12"/>
  <c r="E94" i="12"/>
  <c r="L94" i="12"/>
  <c r="L82" i="12"/>
  <c r="C118" i="12"/>
  <c r="C105" i="12"/>
  <c r="F130" i="12"/>
  <c r="F129" i="12"/>
  <c r="F117" i="12"/>
  <c r="L7" i="12"/>
  <c r="M7" i="12"/>
  <c r="E4" i="12"/>
  <c r="D4" i="12"/>
  <c r="L6" i="12"/>
  <c r="M6" i="12"/>
  <c r="R73" i="10"/>
  <c r="L8" i="12"/>
  <c r="M8" i="12"/>
  <c r="C4" i="12"/>
  <c r="M73" i="10"/>
  <c r="M118" i="10"/>
  <c r="M123" i="10"/>
  <c r="M127" i="10"/>
  <c r="G4" i="12"/>
  <c r="L5" i="12"/>
  <c r="M5" i="12"/>
  <c r="R67" i="10"/>
  <c r="D7" i="10"/>
  <c r="D21" i="10"/>
  <c r="AH131" i="10"/>
  <c r="AH130" i="10"/>
  <c r="AF131" i="10"/>
  <c r="AF130" i="10"/>
  <c r="J131" i="10"/>
  <c r="J130" i="10"/>
  <c r="I131" i="10"/>
  <c r="AC131" i="10"/>
  <c r="AC130" i="10"/>
  <c r="AD130" i="10"/>
  <c r="AB130" i="10"/>
  <c r="Z130" i="10"/>
  <c r="Y130" i="10"/>
  <c r="X130" i="10"/>
  <c r="W130" i="10"/>
  <c r="U130" i="10"/>
  <c r="T130" i="10"/>
  <c r="S130" i="10"/>
  <c r="P130" i="10"/>
  <c r="O130" i="10"/>
  <c r="N130" i="10"/>
  <c r="K130" i="10"/>
  <c r="I130" i="10"/>
  <c r="H130" i="10"/>
  <c r="F130" i="10"/>
  <c r="E130" i="10"/>
  <c r="D130" i="10"/>
  <c r="Z125" i="10"/>
  <c r="Y125" i="10"/>
  <c r="AE125" i="10"/>
  <c r="X125" i="10"/>
  <c r="AC125" i="10"/>
  <c r="AH122" i="10"/>
  <c r="AF122" i="10"/>
  <c r="AD122" i="10"/>
  <c r="AC122" i="10"/>
  <c r="AH121" i="10"/>
  <c r="AF121" i="10"/>
  <c r="AD121" i="10"/>
  <c r="AD120" i="10"/>
  <c r="AC121" i="10"/>
  <c r="AH120" i="10"/>
  <c r="AF120" i="10"/>
  <c r="AE120" i="10"/>
  <c r="AC120" i="10"/>
  <c r="AB120" i="10"/>
  <c r="Z120" i="10"/>
  <c r="Y120" i="10"/>
  <c r="X120" i="10"/>
  <c r="W120" i="10"/>
  <c r="U120" i="10"/>
  <c r="T120" i="10"/>
  <c r="S120" i="10"/>
  <c r="P120" i="10"/>
  <c r="O120" i="10"/>
  <c r="N120" i="10"/>
  <c r="K120" i="10"/>
  <c r="J120" i="10"/>
  <c r="I120" i="10"/>
  <c r="H120" i="10"/>
  <c r="F120" i="10"/>
  <c r="E120" i="10"/>
  <c r="D120" i="10"/>
  <c r="AB116" i="10"/>
  <c r="AH116" i="10"/>
  <c r="Z116" i="10"/>
  <c r="AF116" i="10"/>
  <c r="Y116" i="10"/>
  <c r="AE116" i="10"/>
  <c r="X116" i="10"/>
  <c r="AC116" i="10"/>
  <c r="AB42" i="10"/>
  <c r="AH42" i="10"/>
  <c r="Z42" i="10"/>
  <c r="AF42" i="10"/>
  <c r="Y42" i="10"/>
  <c r="AE42" i="10"/>
  <c r="X42" i="10"/>
  <c r="AC42" i="10"/>
  <c r="AB22" i="10"/>
  <c r="AB21" i="10"/>
  <c r="Z22" i="10"/>
  <c r="Y22" i="10"/>
  <c r="X22" i="10"/>
  <c r="AB56" i="10"/>
  <c r="AH56" i="10"/>
  <c r="Z56" i="10"/>
  <c r="AF56" i="10"/>
  <c r="Y56" i="10"/>
  <c r="AE56" i="10"/>
  <c r="X56" i="10"/>
  <c r="AC56" i="10"/>
  <c r="AB55" i="10"/>
  <c r="AH55" i="10"/>
  <c r="Z55" i="10"/>
  <c r="AF55" i="10"/>
  <c r="Y55" i="10"/>
  <c r="AE55" i="10"/>
  <c r="X55" i="10"/>
  <c r="AC55" i="10"/>
  <c r="AB54" i="10"/>
  <c r="AH54" i="10"/>
  <c r="Z54" i="10"/>
  <c r="AF54" i="10"/>
  <c r="Y54" i="10"/>
  <c r="AE54" i="10"/>
  <c r="X54" i="10"/>
  <c r="AC54" i="10"/>
  <c r="AB53" i="10"/>
  <c r="AH53" i="10"/>
  <c r="Z53" i="10"/>
  <c r="AF53" i="10"/>
  <c r="Y53" i="10"/>
  <c r="AE53" i="10"/>
  <c r="X53" i="10"/>
  <c r="AC53" i="10"/>
  <c r="AB52" i="10"/>
  <c r="AH52" i="10"/>
  <c r="Z52" i="10"/>
  <c r="AF52" i="10"/>
  <c r="Y52" i="10"/>
  <c r="AE52" i="10"/>
  <c r="X52" i="10"/>
  <c r="AC52" i="10"/>
  <c r="AB51" i="10"/>
  <c r="AH51" i="10"/>
  <c r="Z51" i="10"/>
  <c r="AF51" i="10"/>
  <c r="Y51" i="10"/>
  <c r="AE51" i="10"/>
  <c r="X51" i="10"/>
  <c r="AC51" i="10"/>
  <c r="AB50" i="10"/>
  <c r="AH50" i="10"/>
  <c r="Z50" i="10"/>
  <c r="Y50" i="10"/>
  <c r="AE50" i="10"/>
  <c r="X50" i="10"/>
  <c r="AC50" i="10"/>
  <c r="AB49" i="10"/>
  <c r="Z49" i="10"/>
  <c r="Y49" i="10"/>
  <c r="X49" i="10"/>
  <c r="D48" i="10"/>
  <c r="AB41" i="10"/>
  <c r="AH41" i="10"/>
  <c r="Z41" i="10"/>
  <c r="AF41" i="10"/>
  <c r="Y41" i="10"/>
  <c r="AE41" i="10"/>
  <c r="X41" i="10"/>
  <c r="AC41" i="10"/>
  <c r="AB115" i="10"/>
  <c r="AH115" i="10"/>
  <c r="Z115" i="10"/>
  <c r="AF115" i="10"/>
  <c r="Y115" i="10"/>
  <c r="AE115" i="10"/>
  <c r="X115" i="10"/>
  <c r="AC115" i="10"/>
  <c r="AB40" i="10"/>
  <c r="AH40" i="10"/>
  <c r="Z40" i="10"/>
  <c r="AF40" i="10"/>
  <c r="Y40" i="10"/>
  <c r="AE40" i="10"/>
  <c r="X40" i="10"/>
  <c r="AC40" i="10"/>
  <c r="AB39" i="10"/>
  <c r="AH39" i="10"/>
  <c r="Z39" i="10"/>
  <c r="AF39" i="10"/>
  <c r="Y39" i="10"/>
  <c r="AE39" i="10"/>
  <c r="X39" i="10"/>
  <c r="AC39" i="10"/>
  <c r="AB38" i="10"/>
  <c r="AH38" i="10"/>
  <c r="Z38" i="10"/>
  <c r="AF38" i="10"/>
  <c r="Y38" i="10"/>
  <c r="AE38" i="10"/>
  <c r="X38" i="10"/>
  <c r="AC38" i="10"/>
  <c r="AB37" i="10"/>
  <c r="AH37" i="10"/>
  <c r="Z37" i="10"/>
  <c r="AF37" i="10"/>
  <c r="Y37" i="10"/>
  <c r="AE37" i="10"/>
  <c r="X37" i="10"/>
  <c r="AC37" i="10"/>
  <c r="AB36" i="10"/>
  <c r="AH36" i="10"/>
  <c r="Z36" i="10"/>
  <c r="AF36" i="10"/>
  <c r="Y36" i="10"/>
  <c r="AE36" i="10"/>
  <c r="X36" i="10"/>
  <c r="AC36" i="10"/>
  <c r="AB35" i="10"/>
  <c r="Z35" i="10"/>
  <c r="AF35" i="10"/>
  <c r="Y35" i="10"/>
  <c r="AE35" i="10"/>
  <c r="X35" i="10"/>
  <c r="AC35" i="10"/>
  <c r="AB34" i="10"/>
  <c r="Z34" i="10"/>
  <c r="Y34" i="10"/>
  <c r="X34" i="10"/>
  <c r="AB20" i="10"/>
  <c r="AB19" i="10"/>
  <c r="Z20" i="10"/>
  <c r="Y20" i="10"/>
  <c r="X20" i="10"/>
  <c r="AC20" i="10"/>
  <c r="D19" i="10"/>
  <c r="AB114" i="10"/>
  <c r="AH114" i="10"/>
  <c r="Z114" i="10"/>
  <c r="AF114" i="10"/>
  <c r="Y114" i="10"/>
  <c r="AE114" i="10"/>
  <c r="X114" i="10"/>
  <c r="AC114" i="10"/>
  <c r="AB113" i="10"/>
  <c r="AH113" i="10"/>
  <c r="Z113" i="10"/>
  <c r="AF113" i="10"/>
  <c r="X113" i="10"/>
  <c r="AC113" i="10"/>
  <c r="T113" i="10"/>
  <c r="O113" i="10"/>
  <c r="AB112" i="10"/>
  <c r="AH112" i="10"/>
  <c r="Z112" i="10"/>
  <c r="AF112" i="10"/>
  <c r="Y112" i="10"/>
  <c r="AE112" i="10"/>
  <c r="X112" i="10"/>
  <c r="AC112" i="10"/>
  <c r="AB111" i="10"/>
  <c r="AH111" i="10"/>
  <c r="Z111" i="10"/>
  <c r="AF111" i="10"/>
  <c r="Y111" i="10"/>
  <c r="AE111" i="10"/>
  <c r="X111" i="10"/>
  <c r="AC111" i="10"/>
  <c r="AB110" i="10"/>
  <c r="Z110" i="10"/>
  <c r="Y110" i="10"/>
  <c r="X110" i="10"/>
  <c r="AL109" i="10"/>
  <c r="AK109" i="10"/>
  <c r="AB108" i="10"/>
  <c r="AH108" i="10"/>
  <c r="Z108" i="10"/>
  <c r="AF108" i="10"/>
  <c r="Y108" i="10"/>
  <c r="AE108" i="10"/>
  <c r="X108" i="10"/>
  <c r="AC108" i="10"/>
  <c r="AB107" i="10"/>
  <c r="AH107" i="10"/>
  <c r="Z107" i="10"/>
  <c r="AF107" i="10"/>
  <c r="Y107" i="10"/>
  <c r="AE107" i="10"/>
  <c r="X107" i="10"/>
  <c r="AC107" i="10"/>
  <c r="AB106" i="10"/>
  <c r="AH106" i="10"/>
  <c r="Z106" i="10"/>
  <c r="AF106" i="10"/>
  <c r="Y106" i="10"/>
  <c r="AE106" i="10"/>
  <c r="X106" i="10"/>
  <c r="AC106" i="10"/>
  <c r="AB105" i="10"/>
  <c r="AH105" i="10"/>
  <c r="Z105" i="10"/>
  <c r="AF105" i="10"/>
  <c r="Y105" i="10"/>
  <c r="AE105" i="10"/>
  <c r="X105" i="10"/>
  <c r="AC105" i="10"/>
  <c r="AB104" i="10"/>
  <c r="AH104" i="10"/>
  <c r="Z104" i="10"/>
  <c r="AF104" i="10"/>
  <c r="Y104" i="10"/>
  <c r="AE104" i="10"/>
  <c r="X104" i="10"/>
  <c r="AC104" i="10"/>
  <c r="AB103" i="10"/>
  <c r="AH103" i="10"/>
  <c r="Z103" i="10"/>
  <c r="AF103" i="10"/>
  <c r="Y103" i="10"/>
  <c r="AE103" i="10"/>
  <c r="X103" i="10"/>
  <c r="AC103" i="10"/>
  <c r="AB102" i="10"/>
  <c r="AH102" i="10"/>
  <c r="Z102" i="10"/>
  <c r="AF102" i="10"/>
  <c r="X102" i="10"/>
  <c r="AC102" i="10"/>
  <c r="T102" i="10"/>
  <c r="O102" i="10"/>
  <c r="AB101" i="10"/>
  <c r="AH101" i="10"/>
  <c r="Z101" i="10"/>
  <c r="AF101" i="10"/>
  <c r="Y101" i="10"/>
  <c r="AE101" i="10"/>
  <c r="X101" i="10"/>
  <c r="AC101" i="10"/>
  <c r="AB100" i="10"/>
  <c r="AH100" i="10"/>
  <c r="Z100" i="10"/>
  <c r="AF100" i="10"/>
  <c r="X100" i="10"/>
  <c r="AC100" i="10"/>
  <c r="T100" i="10"/>
  <c r="O100" i="10"/>
  <c r="AB99" i="10"/>
  <c r="AH99" i="10"/>
  <c r="Z99" i="10"/>
  <c r="AF99" i="10"/>
  <c r="Y99" i="10"/>
  <c r="AE99" i="10"/>
  <c r="X99" i="10"/>
  <c r="AC99" i="10"/>
  <c r="AB98" i="10"/>
  <c r="AH98" i="10"/>
  <c r="Z98" i="10"/>
  <c r="AF98" i="10"/>
  <c r="Y98" i="10"/>
  <c r="AE98" i="10"/>
  <c r="X98" i="10"/>
  <c r="AC98" i="10"/>
  <c r="AB97" i="10"/>
  <c r="AH97" i="10"/>
  <c r="Z97" i="10"/>
  <c r="AF97" i="10"/>
  <c r="Y97" i="10"/>
  <c r="AE97" i="10"/>
  <c r="X97" i="10"/>
  <c r="AC97" i="10"/>
  <c r="AB96" i="10"/>
  <c r="AH96" i="10"/>
  <c r="Z96" i="10"/>
  <c r="AF96" i="10"/>
  <c r="Y96" i="10"/>
  <c r="AE96" i="10"/>
  <c r="X96" i="10"/>
  <c r="AC96" i="10"/>
  <c r="AB95" i="10"/>
  <c r="AH95" i="10"/>
  <c r="Z95" i="10"/>
  <c r="AF95" i="10"/>
  <c r="Y95" i="10"/>
  <c r="AE95" i="10"/>
  <c r="X95" i="10"/>
  <c r="AC95" i="10"/>
  <c r="AB94" i="10"/>
  <c r="AH94" i="10"/>
  <c r="Z94" i="10"/>
  <c r="AF94" i="10"/>
  <c r="Y94" i="10"/>
  <c r="AE94" i="10"/>
  <c r="X94" i="10"/>
  <c r="AC94" i="10"/>
  <c r="AB93" i="10"/>
  <c r="AH93" i="10"/>
  <c r="Z93" i="10"/>
  <c r="AF93" i="10"/>
  <c r="Y93" i="10"/>
  <c r="AE93" i="10"/>
  <c r="X93" i="10"/>
  <c r="AC93" i="10"/>
  <c r="AB92" i="10"/>
  <c r="AH92" i="10"/>
  <c r="Z92" i="10"/>
  <c r="AF92" i="10"/>
  <c r="Y92" i="10"/>
  <c r="AE92" i="10"/>
  <c r="X92" i="10"/>
  <c r="AC92" i="10"/>
  <c r="AB91" i="10"/>
  <c r="AH91" i="10"/>
  <c r="Z91" i="10"/>
  <c r="AF91" i="10"/>
  <c r="Y91" i="10"/>
  <c r="AE91" i="10"/>
  <c r="X91" i="10"/>
  <c r="AC91" i="10"/>
  <c r="AB90" i="10"/>
  <c r="AH90" i="10"/>
  <c r="Z90" i="10"/>
  <c r="AF90" i="10"/>
  <c r="Y90" i="10"/>
  <c r="AE90" i="10"/>
  <c r="X90" i="10"/>
  <c r="AC90" i="10"/>
  <c r="AB89" i="10"/>
  <c r="AH89" i="10"/>
  <c r="Z89" i="10"/>
  <c r="AF89" i="10"/>
  <c r="Y89" i="10"/>
  <c r="AE89" i="10"/>
  <c r="X89" i="10"/>
  <c r="AC89" i="10"/>
  <c r="AB88" i="10"/>
  <c r="AH88" i="10"/>
  <c r="Z88" i="10"/>
  <c r="AF88" i="10"/>
  <c r="Y88" i="10"/>
  <c r="AE88" i="10"/>
  <c r="X88" i="10"/>
  <c r="AC88" i="10"/>
  <c r="AB87" i="10"/>
  <c r="AH87" i="10"/>
  <c r="Z87" i="10"/>
  <c r="AF87" i="10"/>
  <c r="Y87" i="10"/>
  <c r="AE87" i="10"/>
  <c r="X87" i="10"/>
  <c r="AC87" i="10"/>
  <c r="AB86" i="10"/>
  <c r="AH86" i="10"/>
  <c r="Z86" i="10"/>
  <c r="AF86" i="10"/>
  <c r="Y86" i="10"/>
  <c r="AE86" i="10"/>
  <c r="X86" i="10"/>
  <c r="AC86" i="10"/>
  <c r="AB85" i="10"/>
  <c r="AH85" i="10"/>
  <c r="Z85" i="10"/>
  <c r="AF85" i="10"/>
  <c r="Y85" i="10"/>
  <c r="AE85" i="10"/>
  <c r="X85" i="10"/>
  <c r="AC85" i="10"/>
  <c r="AB84" i="10"/>
  <c r="AH84" i="10"/>
  <c r="Z84" i="10"/>
  <c r="AF84" i="10"/>
  <c r="Y84" i="10"/>
  <c r="AE84" i="10"/>
  <c r="X84" i="10"/>
  <c r="AC84" i="10"/>
  <c r="AB83" i="10"/>
  <c r="AH83" i="10"/>
  <c r="Z83" i="10"/>
  <c r="AF83" i="10"/>
  <c r="Y83" i="10"/>
  <c r="AE83" i="10"/>
  <c r="X83" i="10"/>
  <c r="AC83" i="10"/>
  <c r="AB82" i="10"/>
  <c r="Z82" i="10"/>
  <c r="Y82" i="10"/>
  <c r="X82" i="10"/>
  <c r="D81" i="10"/>
  <c r="AB32" i="10"/>
  <c r="AH32" i="10"/>
  <c r="Z32" i="10"/>
  <c r="AF32" i="10"/>
  <c r="Y32" i="10"/>
  <c r="AE32" i="10"/>
  <c r="X32" i="10"/>
  <c r="AC32" i="10"/>
  <c r="AB80" i="10"/>
  <c r="AH80" i="10"/>
  <c r="Z80" i="10"/>
  <c r="AF80" i="10"/>
  <c r="Y80" i="10"/>
  <c r="AE80" i="10"/>
  <c r="X80" i="10"/>
  <c r="AC80" i="10"/>
  <c r="AB79" i="10"/>
  <c r="AH79" i="10"/>
  <c r="Z79" i="10"/>
  <c r="AF79" i="10"/>
  <c r="Y79" i="10"/>
  <c r="AE79" i="10"/>
  <c r="X79" i="10"/>
  <c r="AC79" i="10"/>
  <c r="AB78" i="10"/>
  <c r="Z78" i="10"/>
  <c r="Y78" i="10"/>
  <c r="Y77" i="10"/>
  <c r="X78" i="10"/>
  <c r="X77" i="10"/>
  <c r="D77" i="10"/>
  <c r="Z76" i="10"/>
  <c r="AF76" i="10"/>
  <c r="Y76" i="10"/>
  <c r="AE76" i="10"/>
  <c r="X76" i="10"/>
  <c r="AC76" i="10"/>
  <c r="Z75" i="10"/>
  <c r="AF75" i="10"/>
  <c r="Y75" i="10"/>
  <c r="X75" i="10"/>
  <c r="AC75" i="10"/>
  <c r="Z74" i="10"/>
  <c r="Y74" i="10"/>
  <c r="X74" i="10"/>
  <c r="AB76" i="10"/>
  <c r="H74" i="10"/>
  <c r="D73" i="10"/>
  <c r="Z72" i="10"/>
  <c r="AF72" i="10"/>
  <c r="Y72" i="10"/>
  <c r="AE72" i="10"/>
  <c r="X72" i="10"/>
  <c r="AC72" i="10"/>
  <c r="Z71" i="10"/>
  <c r="AF71" i="10"/>
  <c r="Y71" i="10"/>
  <c r="AE71" i="10"/>
  <c r="X71" i="10"/>
  <c r="AC71" i="10"/>
  <c r="Z70" i="10"/>
  <c r="AF70" i="10"/>
  <c r="Y70" i="10"/>
  <c r="AE70" i="10"/>
  <c r="X70" i="10"/>
  <c r="AC70" i="10"/>
  <c r="Z69" i="10"/>
  <c r="AF69" i="10"/>
  <c r="Y69" i="10"/>
  <c r="AE69" i="10"/>
  <c r="X69" i="10"/>
  <c r="AC69" i="10"/>
  <c r="Z68" i="10"/>
  <c r="Y68" i="10"/>
  <c r="X68" i="10"/>
  <c r="AB72" i="10"/>
  <c r="H72" i="10"/>
  <c r="D67" i="10"/>
  <c r="AB65" i="10"/>
  <c r="AH65" i="10"/>
  <c r="Z65" i="10"/>
  <c r="AF65" i="10"/>
  <c r="Y65" i="10"/>
  <c r="AE65" i="10"/>
  <c r="X65" i="10"/>
  <c r="AC65" i="10"/>
  <c r="AB64" i="10"/>
  <c r="Y64" i="10"/>
  <c r="AE64" i="10"/>
  <c r="P64" i="10"/>
  <c r="Z64" i="10"/>
  <c r="N64" i="10"/>
  <c r="X64" i="10"/>
  <c r="AC64" i="10"/>
  <c r="AB63" i="10"/>
  <c r="P63" i="10"/>
  <c r="Z63" i="10"/>
  <c r="O63" i="10"/>
  <c r="Y63" i="10"/>
  <c r="N63" i="10"/>
  <c r="X63" i="10"/>
  <c r="X62" i="10"/>
  <c r="AB66" i="10"/>
  <c r="AH66" i="10"/>
  <c r="Z66" i="10"/>
  <c r="AF66" i="10"/>
  <c r="Y66" i="10"/>
  <c r="AE66" i="10"/>
  <c r="X66" i="10"/>
  <c r="AC66" i="10"/>
  <c r="AB18" i="10"/>
  <c r="AH18" i="10"/>
  <c r="Z18" i="10"/>
  <c r="AF18" i="10"/>
  <c r="Y18" i="10"/>
  <c r="AE18" i="10"/>
  <c r="X18" i="10"/>
  <c r="AC18" i="10"/>
  <c r="AB17" i="10"/>
  <c r="AH17" i="10"/>
  <c r="Z17" i="10"/>
  <c r="AF17" i="10"/>
  <c r="Y17" i="10"/>
  <c r="AE17" i="10"/>
  <c r="X17" i="10"/>
  <c r="AC17" i="10"/>
  <c r="AB16" i="10"/>
  <c r="Z16" i="10"/>
  <c r="Y16" i="10"/>
  <c r="Y15" i="10"/>
  <c r="X16" i="10"/>
  <c r="D15" i="10"/>
  <c r="AB61" i="10"/>
  <c r="AH61" i="10"/>
  <c r="Z61" i="10"/>
  <c r="AF61" i="10"/>
  <c r="Y61" i="10"/>
  <c r="AE61" i="10"/>
  <c r="X61" i="10"/>
  <c r="AC61" i="10"/>
  <c r="AB60" i="10"/>
  <c r="AH60" i="10"/>
  <c r="Z60" i="10"/>
  <c r="AF60" i="10"/>
  <c r="Y60" i="10"/>
  <c r="AE60" i="10"/>
  <c r="X60" i="10"/>
  <c r="AC60" i="10"/>
  <c r="AB59" i="10"/>
  <c r="AH59" i="10"/>
  <c r="Z59" i="10"/>
  <c r="AF59" i="10"/>
  <c r="Y59" i="10"/>
  <c r="AE59" i="10"/>
  <c r="X59" i="10"/>
  <c r="AC59" i="10"/>
  <c r="AB58" i="10"/>
  <c r="Z58" i="10"/>
  <c r="Z57" i="10"/>
  <c r="Y58" i="10"/>
  <c r="X58" i="10"/>
  <c r="D57" i="10"/>
  <c r="AB47" i="10"/>
  <c r="AH47" i="10"/>
  <c r="Z47" i="10"/>
  <c r="AF47" i="10"/>
  <c r="Y47" i="10"/>
  <c r="AE47" i="10"/>
  <c r="X47" i="10"/>
  <c r="AC47" i="10"/>
  <c r="AB46" i="10"/>
  <c r="AH46" i="10"/>
  <c r="Z46" i="10"/>
  <c r="AF46" i="10"/>
  <c r="Y46" i="10"/>
  <c r="AE46" i="10"/>
  <c r="X46" i="10"/>
  <c r="AC46" i="10"/>
  <c r="AB45" i="10"/>
  <c r="AH45" i="10"/>
  <c r="Z45" i="10"/>
  <c r="AF45" i="10"/>
  <c r="X45" i="10"/>
  <c r="AC45" i="10"/>
  <c r="T45" i="10"/>
  <c r="Y45" i="10"/>
  <c r="AB44" i="10"/>
  <c r="Z44" i="10"/>
  <c r="Y44" i="10"/>
  <c r="X44" i="10"/>
  <c r="X43" i="10"/>
  <c r="D43" i="10"/>
  <c r="AB31" i="10"/>
  <c r="AH31" i="10"/>
  <c r="Z31" i="10"/>
  <c r="X31" i="10"/>
  <c r="AC31" i="10"/>
  <c r="AB30" i="10"/>
  <c r="AH30" i="10"/>
  <c r="Z30" i="10"/>
  <c r="AF30" i="10"/>
  <c r="Y30" i="10"/>
  <c r="AE30" i="10"/>
  <c r="X30" i="10"/>
  <c r="AC30" i="10"/>
  <c r="AB29" i="10"/>
  <c r="AH29" i="10"/>
  <c r="Z29" i="10"/>
  <c r="AF29" i="10"/>
  <c r="Y29" i="10"/>
  <c r="AE29" i="10"/>
  <c r="X29" i="10"/>
  <c r="AC29" i="10"/>
  <c r="AB28" i="10"/>
  <c r="AH28" i="10"/>
  <c r="Z28" i="10"/>
  <c r="AF28" i="10"/>
  <c r="Y28" i="10"/>
  <c r="AE28" i="10"/>
  <c r="X28" i="10"/>
  <c r="AC28" i="10"/>
  <c r="AB27" i="10"/>
  <c r="AH27" i="10"/>
  <c r="Z27" i="10"/>
  <c r="AF27" i="10"/>
  <c r="Y27" i="10"/>
  <c r="AE27" i="10"/>
  <c r="X27" i="10"/>
  <c r="AC27" i="10"/>
  <c r="AB26" i="10"/>
  <c r="AH26" i="10"/>
  <c r="Z26" i="10"/>
  <c r="AF26" i="10"/>
  <c r="Y26" i="10"/>
  <c r="AE26" i="10"/>
  <c r="X26" i="10"/>
  <c r="AC26" i="10"/>
  <c r="AB25" i="10"/>
  <c r="AH25" i="10"/>
  <c r="Z25" i="10"/>
  <c r="AF25" i="10"/>
  <c r="Y25" i="10"/>
  <c r="AE25" i="10"/>
  <c r="X25" i="10"/>
  <c r="AC25" i="10"/>
  <c r="AB24" i="10"/>
  <c r="Z24" i="10"/>
  <c r="Y24" i="10"/>
  <c r="X24" i="10"/>
  <c r="AB14" i="10"/>
  <c r="AH14" i="10"/>
  <c r="Z14" i="10"/>
  <c r="X14" i="10"/>
  <c r="AC14" i="10"/>
  <c r="AB13" i="10"/>
  <c r="AH13" i="10"/>
  <c r="Z13" i="10"/>
  <c r="AF13" i="10"/>
  <c r="Y13" i="10"/>
  <c r="AE13" i="10"/>
  <c r="X13" i="10"/>
  <c r="AC13" i="10"/>
  <c r="AB12" i="10"/>
  <c r="AH12" i="10"/>
  <c r="Z12" i="10"/>
  <c r="AF12" i="10"/>
  <c r="Y12" i="10"/>
  <c r="AE12" i="10"/>
  <c r="X12" i="10"/>
  <c r="AC12" i="10"/>
  <c r="AB11" i="10"/>
  <c r="AH11" i="10"/>
  <c r="Z11" i="10"/>
  <c r="AF11" i="10"/>
  <c r="Y11" i="10"/>
  <c r="AE11" i="10"/>
  <c r="X11" i="10"/>
  <c r="AC11" i="10"/>
  <c r="AB10" i="10"/>
  <c r="AH10" i="10"/>
  <c r="Z10" i="10"/>
  <c r="AF10" i="10"/>
  <c r="Y10" i="10"/>
  <c r="AE10" i="10"/>
  <c r="X10" i="10"/>
  <c r="AC10" i="10"/>
  <c r="AB9" i="10"/>
  <c r="AH9" i="10"/>
  <c r="Z9" i="10"/>
  <c r="AF9" i="10"/>
  <c r="Y9" i="10"/>
  <c r="AE9" i="10"/>
  <c r="X9" i="10"/>
  <c r="AC9" i="10"/>
  <c r="AB8" i="10"/>
  <c r="Z8" i="10"/>
  <c r="Y8" i="10"/>
  <c r="X8" i="10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R23" i="9"/>
  <c r="K23" i="9"/>
  <c r="R22" i="9"/>
  <c r="K22" i="9"/>
  <c r="S18" i="9"/>
  <c r="Q17" i="9"/>
  <c r="P17" i="9"/>
  <c r="O17" i="9"/>
  <c r="N17" i="9"/>
  <c r="M17" i="9"/>
  <c r="L17" i="9"/>
  <c r="J17" i="9"/>
  <c r="I17" i="9"/>
  <c r="H17" i="9"/>
  <c r="G17" i="9"/>
  <c r="F17" i="9"/>
  <c r="E17" i="9"/>
  <c r="D17" i="9"/>
  <c r="C17" i="9"/>
  <c r="Q16" i="9"/>
  <c r="P16" i="9"/>
  <c r="O16" i="9"/>
  <c r="N16" i="9"/>
  <c r="M16" i="9"/>
  <c r="L16" i="9"/>
  <c r="J16" i="9"/>
  <c r="I16" i="9"/>
  <c r="H16" i="9"/>
  <c r="G16" i="9"/>
  <c r="F16" i="9"/>
  <c r="E16" i="9"/>
  <c r="D16" i="9"/>
  <c r="C16" i="9"/>
  <c r="S12" i="9"/>
  <c r="Q11" i="9"/>
  <c r="P11" i="9"/>
  <c r="O11" i="9"/>
  <c r="N11" i="9"/>
  <c r="M11" i="9"/>
  <c r="L11" i="9"/>
  <c r="J11" i="9"/>
  <c r="I11" i="9"/>
  <c r="H11" i="9"/>
  <c r="G11" i="9"/>
  <c r="F11" i="9"/>
  <c r="E11" i="9"/>
  <c r="D11" i="9"/>
  <c r="C11" i="9"/>
  <c r="Q10" i="9"/>
  <c r="P10" i="9"/>
  <c r="O10" i="9"/>
  <c r="N10" i="9"/>
  <c r="M10" i="9"/>
  <c r="L10" i="9"/>
  <c r="J10" i="9"/>
  <c r="I10" i="9"/>
  <c r="H10" i="9"/>
  <c r="G10" i="9"/>
  <c r="F10" i="9"/>
  <c r="E10" i="9"/>
  <c r="D10" i="9"/>
  <c r="C10" i="9"/>
  <c r="S6" i="9"/>
  <c r="Q5" i="9"/>
  <c r="P5" i="9"/>
  <c r="O5" i="9"/>
  <c r="N5" i="9"/>
  <c r="M5" i="9"/>
  <c r="L5" i="9"/>
  <c r="J5" i="9"/>
  <c r="I5" i="9"/>
  <c r="H5" i="9"/>
  <c r="G5" i="9"/>
  <c r="F5" i="9"/>
  <c r="E5" i="9"/>
  <c r="D5" i="9"/>
  <c r="C5" i="9"/>
  <c r="Q4" i="9"/>
  <c r="P4" i="9"/>
  <c r="O4" i="9"/>
  <c r="N4" i="9"/>
  <c r="M4" i="9"/>
  <c r="L4" i="9"/>
  <c r="J4" i="9"/>
  <c r="I4" i="9"/>
  <c r="H4" i="9"/>
  <c r="G4" i="9"/>
  <c r="F4" i="9"/>
  <c r="E4" i="9"/>
  <c r="D4" i="9"/>
  <c r="C4" i="9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R35" i="8"/>
  <c r="K35" i="8"/>
  <c r="R34" i="8"/>
  <c r="K34" i="8"/>
  <c r="K33" i="8"/>
  <c r="R32" i="8"/>
  <c r="K32" i="8"/>
  <c r="S27" i="8"/>
  <c r="Q26" i="8"/>
  <c r="P26" i="8"/>
  <c r="O26" i="8"/>
  <c r="L26" i="8"/>
  <c r="J26" i="8"/>
  <c r="I26" i="8"/>
  <c r="H26" i="8"/>
  <c r="G26" i="8"/>
  <c r="F26" i="8"/>
  <c r="E26" i="8"/>
  <c r="D26" i="8"/>
  <c r="C26" i="8"/>
  <c r="Q25" i="8"/>
  <c r="P25" i="8"/>
  <c r="O25" i="8"/>
  <c r="J25" i="8"/>
  <c r="I25" i="8"/>
  <c r="H25" i="8"/>
  <c r="G25" i="8"/>
  <c r="F25" i="8"/>
  <c r="E25" i="8"/>
  <c r="D25" i="8"/>
  <c r="C25" i="8"/>
  <c r="R24" i="8"/>
  <c r="Q24" i="8"/>
  <c r="P24" i="8"/>
  <c r="O24" i="8"/>
  <c r="L24" i="8"/>
  <c r="J24" i="8"/>
  <c r="I24" i="8"/>
  <c r="H24" i="8"/>
  <c r="G24" i="8"/>
  <c r="F24" i="8"/>
  <c r="E24" i="8"/>
  <c r="D24" i="8"/>
  <c r="C24" i="8"/>
  <c r="Q23" i="8"/>
  <c r="P23" i="8"/>
  <c r="P22" i="8"/>
  <c r="O23" i="8"/>
  <c r="J23" i="8"/>
  <c r="I23" i="8"/>
  <c r="H23" i="8"/>
  <c r="G23" i="8"/>
  <c r="F23" i="8"/>
  <c r="E23" i="8"/>
  <c r="D23" i="8"/>
  <c r="C23" i="8"/>
  <c r="R22" i="8"/>
  <c r="K22" i="8"/>
  <c r="S18" i="8"/>
  <c r="Q17" i="8"/>
  <c r="P17" i="8"/>
  <c r="O17" i="8"/>
  <c r="L17" i="8"/>
  <c r="J17" i="8"/>
  <c r="I17" i="8"/>
  <c r="H17" i="8"/>
  <c r="G17" i="8"/>
  <c r="F17" i="8"/>
  <c r="E17" i="8"/>
  <c r="D17" i="8"/>
  <c r="C17" i="8"/>
  <c r="Q16" i="8"/>
  <c r="P16" i="8"/>
  <c r="O16" i="8"/>
  <c r="L16" i="8"/>
  <c r="J16" i="8"/>
  <c r="I16" i="8"/>
  <c r="H16" i="8"/>
  <c r="G16" i="8"/>
  <c r="F16" i="8"/>
  <c r="E16" i="8"/>
  <c r="D16" i="8"/>
  <c r="C16" i="8"/>
  <c r="R15" i="8"/>
  <c r="Q15" i="8"/>
  <c r="P15" i="8"/>
  <c r="O15" i="8"/>
  <c r="L15" i="8"/>
  <c r="J15" i="8"/>
  <c r="I15" i="8"/>
  <c r="H15" i="8"/>
  <c r="G15" i="8"/>
  <c r="F15" i="8"/>
  <c r="E15" i="8"/>
  <c r="D15" i="8"/>
  <c r="C15" i="8"/>
  <c r="Q14" i="8"/>
  <c r="P14" i="8"/>
  <c r="O14" i="8"/>
  <c r="L14" i="8"/>
  <c r="J14" i="8"/>
  <c r="I14" i="8"/>
  <c r="H14" i="8"/>
  <c r="G14" i="8"/>
  <c r="F14" i="8"/>
  <c r="E14" i="8"/>
  <c r="D14" i="8"/>
  <c r="C14" i="8"/>
  <c r="K13" i="8"/>
  <c r="S9" i="8"/>
  <c r="Q8" i="8"/>
  <c r="P8" i="8"/>
  <c r="O8" i="8"/>
  <c r="L8" i="8"/>
  <c r="J8" i="8"/>
  <c r="I8" i="8"/>
  <c r="H8" i="8"/>
  <c r="G8" i="8"/>
  <c r="F8" i="8"/>
  <c r="E8" i="8"/>
  <c r="D8" i="8"/>
  <c r="C8" i="8"/>
  <c r="Q7" i="8"/>
  <c r="P7" i="8"/>
  <c r="O7" i="8"/>
  <c r="L7" i="8"/>
  <c r="J7" i="8"/>
  <c r="J34" i="8"/>
  <c r="I7" i="8"/>
  <c r="H7" i="8"/>
  <c r="G7" i="8"/>
  <c r="F7" i="8"/>
  <c r="F34" i="8"/>
  <c r="E7" i="8"/>
  <c r="D7" i="8"/>
  <c r="C7" i="8"/>
  <c r="Q6" i="8"/>
  <c r="P6" i="8"/>
  <c r="O6" i="8"/>
  <c r="L6" i="8"/>
  <c r="J6" i="8"/>
  <c r="I6" i="8"/>
  <c r="H6" i="8"/>
  <c r="G6" i="8"/>
  <c r="F6" i="8"/>
  <c r="E6" i="8"/>
  <c r="D6" i="8"/>
  <c r="C6" i="8"/>
  <c r="Q5" i="8"/>
  <c r="P5" i="8"/>
  <c r="O5" i="8"/>
  <c r="L5" i="8"/>
  <c r="J5" i="8"/>
  <c r="J32" i="8"/>
  <c r="I5" i="8"/>
  <c r="H5" i="8"/>
  <c r="G5" i="8"/>
  <c r="F5" i="8"/>
  <c r="F32" i="8"/>
  <c r="E5" i="8"/>
  <c r="D5" i="8"/>
  <c r="C5" i="8"/>
  <c r="R4" i="8"/>
  <c r="K4" i="8"/>
  <c r="I4" i="8"/>
  <c r="Q35" i="8"/>
  <c r="D127" i="11"/>
  <c r="H43" i="11"/>
  <c r="M65" i="11"/>
  <c r="M24" i="11"/>
  <c r="H66" i="11"/>
  <c r="H61" i="11"/>
  <c r="H9" i="11"/>
  <c r="H18" i="11"/>
  <c r="M29" i="11"/>
  <c r="H23" i="11"/>
  <c r="H123" i="11"/>
  <c r="H46" i="11"/>
  <c r="M18" i="11"/>
  <c r="E127" i="11"/>
  <c r="H29" i="11"/>
  <c r="M62" i="11"/>
  <c r="J127" i="11"/>
  <c r="H77" i="11"/>
  <c r="H91" i="11"/>
  <c r="H39" i="11"/>
  <c r="H13" i="11"/>
  <c r="H25" i="11"/>
  <c r="H31" i="11"/>
  <c r="H63" i="11"/>
  <c r="H73" i="11"/>
  <c r="H44" i="11"/>
  <c r="H85" i="11"/>
  <c r="H97" i="11"/>
  <c r="I127" i="11"/>
  <c r="H117" i="11"/>
  <c r="H53" i="11"/>
  <c r="H103" i="11"/>
  <c r="M8" i="11"/>
  <c r="M13" i="11"/>
  <c r="H27" i="11"/>
  <c r="H16" i="11"/>
  <c r="H89" i="11"/>
  <c r="H99" i="11"/>
  <c r="H35" i="11"/>
  <c r="H57" i="11"/>
  <c r="H32" i="11"/>
  <c r="H11" i="11"/>
  <c r="H48" i="11"/>
  <c r="H81" i="11"/>
  <c r="F127" i="11"/>
  <c r="K127" i="11"/>
  <c r="H93" i="11"/>
  <c r="H107" i="11"/>
  <c r="H113" i="11"/>
  <c r="H129" i="12"/>
  <c r="H117" i="12"/>
  <c r="I105" i="12"/>
  <c r="I118" i="12"/>
  <c r="K105" i="12"/>
  <c r="K118" i="12"/>
  <c r="L93" i="12"/>
  <c r="M94" i="12"/>
  <c r="M93" i="12"/>
  <c r="C130" i="12"/>
  <c r="C117" i="12"/>
  <c r="G131" i="12"/>
  <c r="G129" i="12"/>
  <c r="G117" i="12"/>
  <c r="L81" i="12"/>
  <c r="M82" i="12"/>
  <c r="M81" i="12"/>
  <c r="C132" i="12"/>
  <c r="L132" i="12"/>
  <c r="M132" i="12"/>
  <c r="L120" i="12"/>
  <c r="M120" i="12"/>
  <c r="E93" i="12"/>
  <c r="E106" i="12"/>
  <c r="D118" i="12"/>
  <c r="D105" i="12"/>
  <c r="C133" i="12"/>
  <c r="L133" i="12"/>
  <c r="M133" i="12"/>
  <c r="L121" i="12"/>
  <c r="M121" i="12"/>
  <c r="L119" i="12"/>
  <c r="M119" i="12"/>
  <c r="C131" i="12"/>
  <c r="M4" i="12"/>
  <c r="L4" i="12"/>
  <c r="AC24" i="10"/>
  <c r="AC23" i="10"/>
  <c r="X23" i="10"/>
  <c r="AF16" i="10"/>
  <c r="AF15" i="10"/>
  <c r="Z15" i="10"/>
  <c r="AF63" i="10"/>
  <c r="Z62" i="10"/>
  <c r="AE74" i="10"/>
  <c r="AE73" i="10"/>
  <c r="Y73" i="10"/>
  <c r="AF82" i="10"/>
  <c r="AF81" i="10"/>
  <c r="Z81" i="10"/>
  <c r="AF110" i="10"/>
  <c r="AF109" i="10"/>
  <c r="Z109" i="10"/>
  <c r="AC34" i="10"/>
  <c r="AC33" i="10"/>
  <c r="X33" i="10"/>
  <c r="AE24" i="10"/>
  <c r="AE23" i="10"/>
  <c r="Y23" i="10"/>
  <c r="AE44" i="10"/>
  <c r="Y43" i="10"/>
  <c r="AC58" i="10"/>
  <c r="AC57" i="10"/>
  <c r="X57" i="10"/>
  <c r="X67" i="10"/>
  <c r="AF74" i="10"/>
  <c r="Z73" i="10"/>
  <c r="AE20" i="10"/>
  <c r="AE19" i="10"/>
  <c r="Y19" i="10"/>
  <c r="AE34" i="10"/>
  <c r="AE33" i="10"/>
  <c r="Y33" i="10"/>
  <c r="AC49" i="10"/>
  <c r="AC48" i="10"/>
  <c r="X48" i="10"/>
  <c r="AE8" i="10"/>
  <c r="AE7" i="10"/>
  <c r="Y7" i="10"/>
  <c r="Z23" i="10"/>
  <c r="AF44" i="10"/>
  <c r="AF43" i="10"/>
  <c r="Z43" i="10"/>
  <c r="AE58" i="10"/>
  <c r="AE57" i="10"/>
  <c r="Y57" i="10"/>
  <c r="AC16" i="10"/>
  <c r="AC15" i="10"/>
  <c r="X15" i="10"/>
  <c r="AE68" i="10"/>
  <c r="Y67" i="10"/>
  <c r="AC82" i="10"/>
  <c r="AC81" i="10"/>
  <c r="X81" i="10"/>
  <c r="X109" i="10"/>
  <c r="AF20" i="10"/>
  <c r="AF19" i="10"/>
  <c r="Z19" i="10"/>
  <c r="AF34" i="10"/>
  <c r="AF33" i="10"/>
  <c r="Z33" i="10"/>
  <c r="AE49" i="10"/>
  <c r="AE48" i="10"/>
  <c r="Y48" i="10"/>
  <c r="R118" i="10"/>
  <c r="R123" i="10"/>
  <c r="R127" i="10"/>
  <c r="AF8" i="10"/>
  <c r="AF7" i="10"/>
  <c r="Z7" i="10"/>
  <c r="AE63" i="10"/>
  <c r="AE62" i="10"/>
  <c r="Y62" i="10"/>
  <c r="Z67" i="10"/>
  <c r="X73" i="10"/>
  <c r="AF78" i="10"/>
  <c r="AF77" i="10"/>
  <c r="Z77" i="10"/>
  <c r="AE82" i="10"/>
  <c r="AE110" i="10"/>
  <c r="AF49" i="10"/>
  <c r="Z48" i="10"/>
  <c r="AH24" i="10"/>
  <c r="AH23" i="10"/>
  <c r="AB23" i="10"/>
  <c r="AH44" i="10"/>
  <c r="AH43" i="10"/>
  <c r="AB43" i="10"/>
  <c r="AH34" i="10"/>
  <c r="AB33" i="10"/>
  <c r="AH8" i="10"/>
  <c r="AH7" i="10"/>
  <c r="AB7" i="10"/>
  <c r="AH58" i="10"/>
  <c r="AH57" i="10"/>
  <c r="AB57" i="10"/>
  <c r="AH78" i="10"/>
  <c r="AH77" i="10"/>
  <c r="AB77" i="10"/>
  <c r="AH49" i="10"/>
  <c r="AH48" i="10"/>
  <c r="AB48" i="10"/>
  <c r="AH16" i="10"/>
  <c r="AH15" i="10"/>
  <c r="AB15" i="10"/>
  <c r="AH63" i="10"/>
  <c r="AB62" i="10"/>
  <c r="AH82" i="10"/>
  <c r="AH81" i="10"/>
  <c r="AB81" i="10"/>
  <c r="AB109" i="10"/>
  <c r="AE67" i="10"/>
  <c r="AF73" i="10"/>
  <c r="D118" i="10"/>
  <c r="H22" i="8"/>
  <c r="E13" i="8"/>
  <c r="K31" i="8"/>
  <c r="F22" i="9"/>
  <c r="J22" i="9"/>
  <c r="D23" i="9"/>
  <c r="H23" i="9"/>
  <c r="M23" i="9"/>
  <c r="Q23" i="9"/>
  <c r="S24" i="9"/>
  <c r="S36" i="8"/>
  <c r="G22" i="9"/>
  <c r="L22" i="9"/>
  <c r="P22" i="9"/>
  <c r="N23" i="9"/>
  <c r="AH22" i="10"/>
  <c r="AH21" i="10"/>
  <c r="AE22" i="10"/>
  <c r="AF22" i="10"/>
  <c r="G34" i="8"/>
  <c r="S4" i="9"/>
  <c r="S16" i="9"/>
  <c r="N22" i="9"/>
  <c r="S17" i="9"/>
  <c r="D35" i="8"/>
  <c r="H35" i="8"/>
  <c r="D22" i="9"/>
  <c r="H22" i="9"/>
  <c r="M22" i="9"/>
  <c r="Q22" i="9"/>
  <c r="O23" i="9"/>
  <c r="S11" i="9"/>
  <c r="I23" i="9"/>
  <c r="O22" i="9"/>
  <c r="P34" i="8"/>
  <c r="E35" i="8"/>
  <c r="I35" i="8"/>
  <c r="G13" i="8"/>
  <c r="R33" i="8"/>
  <c r="R31" i="8"/>
  <c r="E22" i="8"/>
  <c r="I22" i="8"/>
  <c r="E22" i="9"/>
  <c r="I22" i="9"/>
  <c r="C23" i="9"/>
  <c r="G23" i="9"/>
  <c r="L23" i="9"/>
  <c r="P23" i="9"/>
  <c r="S10" i="9"/>
  <c r="F23" i="9"/>
  <c r="J23" i="9"/>
  <c r="Y102" i="10"/>
  <c r="AE102" i="10"/>
  <c r="Y113" i="10"/>
  <c r="AE113" i="10"/>
  <c r="H71" i="10"/>
  <c r="H69" i="10"/>
  <c r="AH20" i="10"/>
  <c r="AH19" i="10"/>
  <c r="AF68" i="10"/>
  <c r="AF67" i="10"/>
  <c r="AE131" i="10"/>
  <c r="AE130" i="10"/>
  <c r="AB70" i="10"/>
  <c r="Y100" i="10"/>
  <c r="AE100" i="10"/>
  <c r="AE81" i="10"/>
  <c r="AE78" i="10"/>
  <c r="AE77" i="10"/>
  <c r="H75" i="10"/>
  <c r="AC78" i="10"/>
  <c r="AC77" i="10"/>
  <c r="AH72" i="10"/>
  <c r="L127" i="11"/>
  <c r="M33" i="11"/>
  <c r="M32" i="11"/>
  <c r="M57" i="11"/>
  <c r="M55" i="11"/>
  <c r="M53" i="11"/>
  <c r="M51" i="11"/>
  <c r="M43" i="11"/>
  <c r="M41" i="11"/>
  <c r="M39" i="11"/>
  <c r="M37" i="11"/>
  <c r="M35" i="11"/>
  <c r="M20" i="11"/>
  <c r="M117" i="11"/>
  <c r="M115" i="11"/>
  <c r="M113" i="11"/>
  <c r="M109" i="11"/>
  <c r="M107" i="11"/>
  <c r="M105" i="11"/>
  <c r="M103" i="11"/>
  <c r="M101" i="11"/>
  <c r="M99" i="11"/>
  <c r="M71" i="11"/>
  <c r="M74" i="11"/>
  <c r="M82" i="11"/>
  <c r="M87" i="11"/>
  <c r="M90" i="11"/>
  <c r="M95" i="11"/>
  <c r="M98" i="11"/>
  <c r="M102" i="11"/>
  <c r="M106" i="11"/>
  <c r="M110" i="11"/>
  <c r="M116" i="11"/>
  <c r="M38" i="11"/>
  <c r="M42" i="11"/>
  <c r="M52" i="11"/>
  <c r="M56" i="11"/>
  <c r="M22" i="11"/>
  <c r="M11" i="11"/>
  <c r="M14" i="11"/>
  <c r="M27" i="11"/>
  <c r="M30" i="11"/>
  <c r="M48" i="11"/>
  <c r="M60" i="11"/>
  <c r="M16" i="11"/>
  <c r="M68" i="11"/>
  <c r="M72" i="11"/>
  <c r="M77" i="11"/>
  <c r="M80" i="11"/>
  <c r="M85" i="11"/>
  <c r="M88" i="11"/>
  <c r="M93" i="11"/>
  <c r="M96" i="11"/>
  <c r="M9" i="11"/>
  <c r="M12" i="11"/>
  <c r="M25" i="11"/>
  <c r="M28" i="11"/>
  <c r="M46" i="11"/>
  <c r="M49" i="11"/>
  <c r="M63" i="11"/>
  <c r="M17" i="11"/>
  <c r="M66" i="11"/>
  <c r="M70" i="11"/>
  <c r="M78" i="11"/>
  <c r="M44" i="11"/>
  <c r="M86" i="11"/>
  <c r="M91" i="11"/>
  <c r="M94" i="11"/>
  <c r="M100" i="11"/>
  <c r="M104" i="11"/>
  <c r="M108" i="11"/>
  <c r="M114" i="11"/>
  <c r="M36" i="11"/>
  <c r="M40" i="11"/>
  <c r="M54" i="11"/>
  <c r="M58" i="11"/>
  <c r="M111" i="11"/>
  <c r="M10" i="11"/>
  <c r="M26" i="11"/>
  <c r="M31" i="11"/>
  <c r="M47" i="11"/>
  <c r="M61" i="11"/>
  <c r="M67" i="11"/>
  <c r="G127" i="11"/>
  <c r="H111" i="11"/>
  <c r="H22" i="11"/>
  <c r="H58" i="11"/>
  <c r="H56" i="11"/>
  <c r="H54" i="11"/>
  <c r="H52" i="11"/>
  <c r="H42" i="11"/>
  <c r="H40" i="11"/>
  <c r="H38" i="11"/>
  <c r="H36" i="11"/>
  <c r="H116" i="11"/>
  <c r="H114" i="11"/>
  <c r="H110" i="11"/>
  <c r="H108" i="11"/>
  <c r="H106" i="11"/>
  <c r="H104" i="11"/>
  <c r="H102" i="11"/>
  <c r="H100" i="11"/>
  <c r="H98" i="11"/>
  <c r="H96" i="11"/>
  <c r="H94" i="11"/>
  <c r="H92" i="11"/>
  <c r="H90" i="11"/>
  <c r="H88" i="11"/>
  <c r="H86" i="11"/>
  <c r="H84" i="11"/>
  <c r="H82" i="11"/>
  <c r="H80" i="11"/>
  <c r="H78" i="11"/>
  <c r="H76" i="11"/>
  <c r="H74" i="11"/>
  <c r="H72" i="11"/>
  <c r="H70" i="11"/>
  <c r="H67" i="11"/>
  <c r="H65" i="11"/>
  <c r="H68" i="11"/>
  <c r="H17" i="11"/>
  <c r="H62" i="11"/>
  <c r="H60" i="11"/>
  <c r="H49" i="11"/>
  <c r="H47" i="11"/>
  <c r="H30" i="11"/>
  <c r="H28" i="11"/>
  <c r="H26" i="11"/>
  <c r="H24" i="11"/>
  <c r="H14" i="11"/>
  <c r="H12" i="11"/>
  <c r="H10" i="11"/>
  <c r="H8" i="11"/>
  <c r="H71" i="11"/>
  <c r="M73" i="11"/>
  <c r="M76" i="11"/>
  <c r="M81" i="11"/>
  <c r="M84" i="11"/>
  <c r="H87" i="11"/>
  <c r="M89" i="11"/>
  <c r="M92" i="11"/>
  <c r="H95" i="11"/>
  <c r="M97" i="11"/>
  <c r="H101" i="11"/>
  <c r="H105" i="11"/>
  <c r="H109" i="11"/>
  <c r="H115" i="11"/>
  <c r="H20" i="11"/>
  <c r="H37" i="11"/>
  <c r="H41" i="11"/>
  <c r="H51" i="11"/>
  <c r="H55" i="11"/>
  <c r="H33" i="11"/>
  <c r="AC63" i="10"/>
  <c r="AC62" i="10"/>
  <c r="AF64" i="10"/>
  <c r="AF62" i="10"/>
  <c r="AE45" i="10"/>
  <c r="AH64" i="10"/>
  <c r="AH35" i="10"/>
  <c r="AC74" i="10"/>
  <c r="AC73" i="10"/>
  <c r="H76" i="10"/>
  <c r="AB71" i="10"/>
  <c r="H68" i="10"/>
  <c r="H70" i="10"/>
  <c r="AC8" i="10"/>
  <c r="AF24" i="10"/>
  <c r="AF23" i="10"/>
  <c r="AC44" i="10"/>
  <c r="AC43" i="10"/>
  <c r="AF58" i="10"/>
  <c r="AF57" i="10"/>
  <c r="AE16" i="10"/>
  <c r="AE15" i="10"/>
  <c r="AC68" i="10"/>
  <c r="AC67" i="10"/>
  <c r="AF50" i="10"/>
  <c r="AF48" i="10"/>
  <c r="AB75" i="10"/>
  <c r="AH110" i="10"/>
  <c r="AH109" i="10"/>
  <c r="AC22" i="10"/>
  <c r="AE75" i="10"/>
  <c r="AC110" i="10"/>
  <c r="AC109" i="10"/>
  <c r="AF125" i="10"/>
  <c r="AB125" i="10"/>
  <c r="E23" i="9"/>
  <c r="C22" i="9"/>
  <c r="S5" i="9"/>
  <c r="Q13" i="8"/>
  <c r="J22" i="8"/>
  <c r="O13" i="8"/>
  <c r="F22" i="8"/>
  <c r="O32" i="8"/>
  <c r="D33" i="8"/>
  <c r="H33" i="8"/>
  <c r="O4" i="8"/>
  <c r="I13" i="8"/>
  <c r="C32" i="8"/>
  <c r="G32" i="8"/>
  <c r="P32" i="8"/>
  <c r="E33" i="8"/>
  <c r="I33" i="8"/>
  <c r="D13" i="8"/>
  <c r="H13" i="8"/>
  <c r="Q33" i="8"/>
  <c r="D4" i="8"/>
  <c r="H4" i="8"/>
  <c r="Q32" i="8"/>
  <c r="F33" i="8"/>
  <c r="J33" i="8"/>
  <c r="O33" i="8"/>
  <c r="D34" i="8"/>
  <c r="H34" i="8"/>
  <c r="Q34" i="8"/>
  <c r="F35" i="8"/>
  <c r="J35" i="8"/>
  <c r="C13" i="8"/>
  <c r="L13" i="8"/>
  <c r="P13" i="8"/>
  <c r="O35" i="8"/>
  <c r="D22" i="8"/>
  <c r="C22" i="8"/>
  <c r="G22" i="8"/>
  <c r="E4" i="8"/>
  <c r="Q4" i="8"/>
  <c r="E32" i="8"/>
  <c r="I32" i="8"/>
  <c r="C33" i="8"/>
  <c r="G33" i="8"/>
  <c r="L4" i="8"/>
  <c r="P4" i="8"/>
  <c r="E34" i="8"/>
  <c r="I34" i="8"/>
  <c r="C35" i="8"/>
  <c r="G35" i="8"/>
  <c r="L35" i="8"/>
  <c r="P35" i="8"/>
  <c r="F13" i="8"/>
  <c r="J13" i="8"/>
  <c r="O22" i="8"/>
  <c r="D32" i="8"/>
  <c r="H32" i="8"/>
  <c r="F4" i="8"/>
  <c r="J4" i="8"/>
  <c r="Q22" i="8"/>
  <c r="L33" i="8"/>
  <c r="P33" i="8"/>
  <c r="C34" i="8"/>
  <c r="O34" i="8"/>
  <c r="C4" i="8"/>
  <c r="G4" i="8"/>
  <c r="R13" i="8"/>
  <c r="M5" i="8"/>
  <c r="N5" i="8"/>
  <c r="N6" i="8"/>
  <c r="N15" i="8"/>
  <c r="N8" i="8"/>
  <c r="N25" i="8"/>
  <c r="N7" i="8"/>
  <c r="M16" i="8"/>
  <c r="M123" i="11"/>
  <c r="L131" i="12"/>
  <c r="M131" i="12"/>
  <c r="I130" i="12"/>
  <c r="I129" i="12"/>
  <c r="I117" i="12"/>
  <c r="K130" i="12"/>
  <c r="K129" i="12"/>
  <c r="K117" i="12"/>
  <c r="L106" i="12"/>
  <c r="E118" i="12"/>
  <c r="L118" i="12"/>
  <c r="E105" i="12"/>
  <c r="C129" i="12"/>
  <c r="D117" i="12"/>
  <c r="D130" i="12"/>
  <c r="D129" i="12"/>
  <c r="AC118" i="10"/>
  <c r="AH33" i="10"/>
  <c r="Y81" i="10"/>
  <c r="Z118" i="10"/>
  <c r="X118" i="10"/>
  <c r="AE43" i="10"/>
  <c r="AE109" i="10"/>
  <c r="AE118" i="10"/>
  <c r="Y109" i="10"/>
  <c r="H73" i="10"/>
  <c r="AH62" i="10"/>
  <c r="AF118" i="10"/>
  <c r="H67" i="10"/>
  <c r="S23" i="9"/>
  <c r="J31" i="8"/>
  <c r="AB74" i="10"/>
  <c r="AB73" i="10"/>
  <c r="AB68" i="10"/>
  <c r="I31" i="8"/>
  <c r="O31" i="8"/>
  <c r="S22" i="9"/>
  <c r="AH71" i="10"/>
  <c r="AH76" i="10"/>
  <c r="AH70" i="10"/>
  <c r="AH75" i="10"/>
  <c r="AB69" i="10"/>
  <c r="AH125" i="10"/>
  <c r="L25" i="8"/>
  <c r="L34" i="8"/>
  <c r="N16" i="8"/>
  <c r="S16" i="8"/>
  <c r="N26" i="8"/>
  <c r="N24" i="8"/>
  <c r="N33" i="8"/>
  <c r="N23" i="8"/>
  <c r="P31" i="8"/>
  <c r="F31" i="8"/>
  <c r="H31" i="8"/>
  <c r="Q31" i="8"/>
  <c r="M7" i="8"/>
  <c r="M26" i="8"/>
  <c r="S26" i="8"/>
  <c r="N14" i="8"/>
  <c r="M14" i="8"/>
  <c r="G31" i="8"/>
  <c r="M15" i="8"/>
  <c r="S15" i="8"/>
  <c r="S5" i="8"/>
  <c r="M25" i="8"/>
  <c r="M8" i="8"/>
  <c r="N17" i="8"/>
  <c r="N4" i="8"/>
  <c r="D31" i="8"/>
  <c r="M17" i="8"/>
  <c r="M6" i="8"/>
  <c r="S6" i="8"/>
  <c r="E31" i="8"/>
  <c r="C31" i="8"/>
  <c r="K17" i="2"/>
  <c r="B16" i="2"/>
  <c r="B14" i="2"/>
  <c r="K14" i="2"/>
  <c r="B13" i="2"/>
  <c r="K13" i="2"/>
  <c r="B12" i="2"/>
  <c r="O12" i="2"/>
  <c r="Q12" i="2"/>
  <c r="S12" i="2"/>
  <c r="U12" i="2"/>
  <c r="W12" i="2"/>
  <c r="Y12" i="2"/>
  <c r="B11" i="2"/>
  <c r="M11" i="2"/>
  <c r="O11" i="2"/>
  <c r="Q11" i="2"/>
  <c r="S11" i="2"/>
  <c r="U11" i="2"/>
  <c r="W11" i="2"/>
  <c r="Y11" i="2"/>
  <c r="B10" i="2"/>
  <c r="K10" i="2"/>
  <c r="M10" i="2"/>
  <c r="O10" i="2"/>
  <c r="Q10" i="2"/>
  <c r="S10" i="2"/>
  <c r="U10" i="2"/>
  <c r="W10" i="2"/>
  <c r="Y10" i="2"/>
  <c r="B9" i="2"/>
  <c r="K9" i="2"/>
  <c r="M9" i="2"/>
  <c r="O9" i="2"/>
  <c r="Q9" i="2"/>
  <c r="S9" i="2"/>
  <c r="B8" i="2"/>
  <c r="K8" i="2"/>
  <c r="M8" i="2"/>
  <c r="O8" i="2"/>
  <c r="Q8" i="2"/>
  <c r="S8" i="2"/>
  <c r="U8" i="2"/>
  <c r="W8" i="2"/>
  <c r="Y8" i="2"/>
  <c r="B7" i="2"/>
  <c r="K7" i="2"/>
  <c r="M7" i="2"/>
  <c r="O7" i="2"/>
  <c r="Q7" i="2"/>
  <c r="S7" i="2"/>
  <c r="U7" i="2"/>
  <c r="W7" i="2"/>
  <c r="Y7" i="2"/>
  <c r="B6" i="2"/>
  <c r="B32" i="2"/>
  <c r="N34" i="8"/>
  <c r="M118" i="12"/>
  <c r="M117" i="12"/>
  <c r="L117" i="12"/>
  <c r="E117" i="12"/>
  <c r="E130" i="12"/>
  <c r="E129" i="12"/>
  <c r="M106" i="12"/>
  <c r="M105" i="12"/>
  <c r="L105" i="12"/>
  <c r="N35" i="8"/>
  <c r="H118" i="10"/>
  <c r="Y118" i="10"/>
  <c r="AH74" i="10"/>
  <c r="AH73" i="10"/>
  <c r="AB67" i="10"/>
  <c r="AB118" i="10"/>
  <c r="N22" i="8"/>
  <c r="AH68" i="10"/>
  <c r="N13" i="8"/>
  <c r="S25" i="8"/>
  <c r="M12" i="2"/>
  <c r="U9" i="2"/>
  <c r="W9" i="2"/>
  <c r="Y9" i="2"/>
  <c r="B15" i="2"/>
  <c r="K15" i="2"/>
  <c r="K6" i="2"/>
  <c r="M6" i="2"/>
  <c r="O6" i="2"/>
  <c r="K11" i="2"/>
  <c r="K12" i="2"/>
  <c r="AH69" i="10"/>
  <c r="L23" i="8"/>
  <c r="N32" i="8"/>
  <c r="M35" i="8"/>
  <c r="S8" i="8"/>
  <c r="S14" i="8"/>
  <c r="M13" i="8"/>
  <c r="S17" i="8"/>
  <c r="M4" i="8"/>
  <c r="S4" i="8"/>
  <c r="M34" i="8"/>
  <c r="S34" i="8"/>
  <c r="S7" i="8"/>
  <c r="D64" i="6"/>
  <c r="D63" i="6"/>
  <c r="D62" i="6"/>
  <c r="D61" i="6"/>
  <c r="E54" i="6"/>
  <c r="D40" i="6"/>
  <c r="C37" i="6"/>
  <c r="C39" i="6"/>
  <c r="C36" i="6"/>
  <c r="C35" i="6"/>
  <c r="AD29" i="6"/>
  <c r="AC29" i="6"/>
  <c r="AB29" i="6"/>
  <c r="E7" i="6"/>
  <c r="D7" i="6"/>
  <c r="C7" i="6"/>
  <c r="E6" i="6"/>
  <c r="D6" i="6"/>
  <c r="C6" i="6"/>
  <c r="E5" i="6"/>
  <c r="D5" i="6"/>
  <c r="C5" i="6"/>
  <c r="E4" i="6"/>
  <c r="E8" i="6"/>
  <c r="D4" i="6"/>
  <c r="C4" i="6"/>
  <c r="E3" i="6"/>
  <c r="D3" i="6"/>
  <c r="D8" i="6"/>
  <c r="C3" i="6"/>
  <c r="C8" i="6"/>
  <c r="S35" i="8"/>
  <c r="N31" i="8"/>
  <c r="L130" i="12"/>
  <c r="M130" i="12"/>
  <c r="M129" i="12"/>
  <c r="S13" i="8"/>
  <c r="AH67" i="10"/>
  <c r="AH118" i="10"/>
  <c r="Q6" i="2"/>
  <c r="O15" i="2"/>
  <c r="M23" i="8"/>
  <c r="M24" i="8"/>
  <c r="L22" i="8"/>
  <c r="L32" i="8"/>
  <c r="C38" i="6"/>
  <c r="D26" i="2"/>
  <c r="L129" i="12"/>
  <c r="S6" i="2"/>
  <c r="Q15" i="2"/>
  <c r="M22" i="8"/>
  <c r="S22" i="8"/>
  <c r="M32" i="8"/>
  <c r="S32" i="8"/>
  <c r="L31" i="8"/>
  <c r="S23" i="8"/>
  <c r="M33" i="8"/>
  <c r="S33" i="8"/>
  <c r="S24" i="8"/>
  <c r="L16" i="2"/>
  <c r="C132" i="2"/>
  <c r="C127" i="2"/>
  <c r="C115" i="2"/>
  <c r="C103" i="2"/>
  <c r="C67" i="2"/>
  <c r="C47" i="2"/>
  <c r="C32" i="2"/>
  <c r="X16" i="2"/>
  <c r="V16" i="2"/>
  <c r="T16" i="2"/>
  <c r="R16" i="2"/>
  <c r="P16" i="2"/>
  <c r="N16" i="2"/>
  <c r="J16" i="2"/>
  <c r="D16" i="2"/>
  <c r="C16" i="2"/>
  <c r="D14" i="2"/>
  <c r="C14" i="2"/>
  <c r="J14" i="2"/>
  <c r="D13" i="2"/>
  <c r="L13" i="2"/>
  <c r="C13" i="2"/>
  <c r="J13" i="2"/>
  <c r="D12" i="2"/>
  <c r="C12" i="2"/>
  <c r="J12" i="2"/>
  <c r="D11" i="2"/>
  <c r="C11" i="2"/>
  <c r="J11" i="2"/>
  <c r="D10" i="2"/>
  <c r="D9" i="2"/>
  <c r="C9" i="2"/>
  <c r="J9" i="2"/>
  <c r="L9" i="2"/>
  <c r="D8" i="2"/>
  <c r="C8" i="2"/>
  <c r="J8" i="2"/>
  <c r="L8" i="2"/>
  <c r="N8" i="2"/>
  <c r="D7" i="2"/>
  <c r="C7" i="2"/>
  <c r="J7" i="2"/>
  <c r="L7" i="2"/>
  <c r="C6" i="2"/>
  <c r="C69" i="2"/>
  <c r="F8" i="2"/>
  <c r="F13" i="2"/>
  <c r="F12" i="2"/>
  <c r="F14" i="2"/>
  <c r="C70" i="2"/>
  <c r="C108" i="2"/>
  <c r="U6" i="2"/>
  <c r="S15" i="2"/>
  <c r="M31" i="8"/>
  <c r="S31" i="8"/>
  <c r="F9" i="2"/>
  <c r="L14" i="2"/>
  <c r="N14" i="2"/>
  <c r="P14" i="2"/>
  <c r="R14" i="2"/>
  <c r="T14" i="2"/>
  <c r="V14" i="2"/>
  <c r="X14" i="2"/>
  <c r="L11" i="2"/>
  <c r="N11" i="2"/>
  <c r="P11" i="2"/>
  <c r="R11" i="2"/>
  <c r="T11" i="2"/>
  <c r="V11" i="2"/>
  <c r="X11" i="2"/>
  <c r="F7" i="2"/>
  <c r="F11" i="2"/>
  <c r="L12" i="2"/>
  <c r="N12" i="2"/>
  <c r="P12" i="2"/>
  <c r="R12" i="2"/>
  <c r="T12" i="2"/>
  <c r="V12" i="2"/>
  <c r="X12" i="2"/>
  <c r="N9" i="2"/>
  <c r="P9" i="2"/>
  <c r="R9" i="2"/>
  <c r="T9" i="2"/>
  <c r="V9" i="2"/>
  <c r="X9" i="2"/>
  <c r="N7" i="2"/>
  <c r="P7" i="2"/>
  <c r="R7" i="2"/>
  <c r="T7" i="2"/>
  <c r="V7" i="2"/>
  <c r="X7" i="2"/>
  <c r="P8" i="2"/>
  <c r="R8" i="2"/>
  <c r="T8" i="2"/>
  <c r="V8" i="2"/>
  <c r="X8" i="2"/>
  <c r="C10" i="2"/>
  <c r="J10" i="2"/>
  <c r="L10" i="2"/>
  <c r="N10" i="2"/>
  <c r="P10" i="2"/>
  <c r="R10" i="2"/>
  <c r="T10" i="2"/>
  <c r="V10" i="2"/>
  <c r="X10" i="2"/>
  <c r="N13" i="2"/>
  <c r="P13" i="2"/>
  <c r="R13" i="2"/>
  <c r="T13" i="2"/>
  <c r="V13" i="2"/>
  <c r="X13" i="2"/>
  <c r="J6" i="2"/>
  <c r="L6" i="2"/>
  <c r="L15" i="2"/>
  <c r="L17" i="2"/>
  <c r="U15" i="2"/>
  <c r="W6" i="2"/>
  <c r="N6" i="2"/>
  <c r="N15" i="2"/>
  <c r="N17" i="2"/>
  <c r="F10" i="2"/>
  <c r="J15" i="2"/>
  <c r="J17" i="2"/>
  <c r="C15" i="2"/>
  <c r="C17" i="2"/>
  <c r="P6" i="2"/>
  <c r="R6" i="2"/>
  <c r="Y6" i="2"/>
  <c r="Y15" i="2"/>
  <c r="W15" i="2"/>
  <c r="P15" i="2"/>
  <c r="P17" i="2"/>
  <c r="R15" i="2"/>
  <c r="R17" i="2"/>
  <c r="T6" i="2"/>
  <c r="T15" i="2"/>
  <c r="T17" i="2"/>
  <c r="V6" i="2"/>
  <c r="X6" i="2"/>
  <c r="X15" i="2"/>
  <c r="X17" i="2"/>
  <c r="V15" i="2"/>
  <c r="V17" i="2"/>
  <c r="J22" i="2"/>
  <c r="L22" i="2"/>
  <c r="D25" i="5"/>
  <c r="E25" i="5"/>
  <c r="F25" i="5"/>
  <c r="G25" i="5"/>
  <c r="H25" i="5"/>
  <c r="I25" i="5"/>
  <c r="J25" i="5"/>
  <c r="J25" i="2"/>
  <c r="L25" i="2"/>
  <c r="J24" i="2"/>
  <c r="L24" i="2"/>
  <c r="N22" i="2"/>
  <c r="Y21" i="2"/>
  <c r="J139" i="2"/>
  <c r="N139" i="2"/>
  <c r="J138" i="2"/>
  <c r="N138" i="2"/>
  <c r="J137" i="2"/>
  <c r="N137" i="2"/>
  <c r="J136" i="2"/>
  <c r="N136" i="2"/>
  <c r="J135" i="2"/>
  <c r="N135" i="2"/>
  <c r="J131" i="2"/>
  <c r="N131" i="2"/>
  <c r="J130" i="2"/>
  <c r="N130" i="2"/>
  <c r="J124" i="2"/>
  <c r="J123" i="2"/>
  <c r="J122" i="2"/>
  <c r="J121" i="2"/>
  <c r="J120" i="2"/>
  <c r="J119" i="2"/>
  <c r="J118" i="2"/>
  <c r="J112" i="2"/>
  <c r="N112" i="2"/>
  <c r="J111" i="2"/>
  <c r="J105" i="2"/>
  <c r="N105" i="2"/>
  <c r="J102" i="2"/>
  <c r="N102" i="2"/>
  <c r="J101" i="2"/>
  <c r="N101" i="2"/>
  <c r="J100" i="2"/>
  <c r="N100" i="2"/>
  <c r="J99" i="2"/>
  <c r="N99" i="2"/>
  <c r="J98" i="2"/>
  <c r="N98" i="2"/>
  <c r="J97" i="2"/>
  <c r="N97" i="2"/>
  <c r="J96" i="2"/>
  <c r="N96" i="2"/>
  <c r="J95" i="2"/>
  <c r="N95" i="2"/>
  <c r="J94" i="2"/>
  <c r="N94" i="2"/>
  <c r="J93" i="2"/>
  <c r="N93" i="2"/>
  <c r="J92" i="2"/>
  <c r="N92" i="2"/>
  <c r="J91" i="2"/>
  <c r="N91" i="2"/>
  <c r="J90" i="2"/>
  <c r="N90" i="2"/>
  <c r="J89" i="2"/>
  <c r="N89" i="2"/>
  <c r="J88" i="2"/>
  <c r="N88" i="2"/>
  <c r="J87" i="2"/>
  <c r="N87" i="2"/>
  <c r="J86" i="2"/>
  <c r="N86" i="2"/>
  <c r="J85" i="2"/>
  <c r="N85" i="2"/>
  <c r="J84" i="2"/>
  <c r="N84" i="2"/>
  <c r="J83" i="2"/>
  <c r="N83" i="2"/>
  <c r="J82" i="2"/>
  <c r="N82" i="2"/>
  <c r="J81" i="2"/>
  <c r="N81" i="2"/>
  <c r="J80" i="2"/>
  <c r="N80" i="2"/>
  <c r="J79" i="2"/>
  <c r="N79" i="2"/>
  <c r="J78" i="2"/>
  <c r="N78" i="2"/>
  <c r="J77" i="2"/>
  <c r="N77" i="2"/>
  <c r="J76" i="2"/>
  <c r="N76" i="2"/>
  <c r="J75" i="2"/>
  <c r="N75" i="2"/>
  <c r="J74" i="2"/>
  <c r="N74" i="2"/>
  <c r="J73" i="2"/>
  <c r="N73" i="2"/>
  <c r="J66" i="2"/>
  <c r="J65" i="2"/>
  <c r="J64" i="2"/>
  <c r="J63" i="2"/>
  <c r="N63" i="2"/>
  <c r="J62" i="2"/>
  <c r="J59" i="2"/>
  <c r="J58" i="2"/>
  <c r="J57" i="2"/>
  <c r="J56" i="2"/>
  <c r="J55" i="2"/>
  <c r="J54" i="2"/>
  <c r="J53" i="2"/>
  <c r="J52" i="2"/>
  <c r="J51" i="2"/>
  <c r="J46" i="2"/>
  <c r="J45" i="2"/>
  <c r="J44" i="2"/>
  <c r="J43" i="2"/>
  <c r="J42" i="2"/>
  <c r="J41" i="2"/>
  <c r="J40" i="2"/>
  <c r="J39" i="2"/>
  <c r="J36" i="2"/>
  <c r="J35" i="2"/>
  <c r="L35" i="2"/>
  <c r="J31" i="2"/>
  <c r="L31" i="2"/>
  <c r="J30" i="2"/>
  <c r="N30" i="2"/>
  <c r="J29" i="2"/>
  <c r="L29" i="2"/>
  <c r="J28" i="2"/>
  <c r="J27" i="2"/>
  <c r="N27" i="2"/>
  <c r="J26" i="2"/>
  <c r="N25" i="2"/>
  <c r="N24" i="2"/>
  <c r="J23" i="2"/>
  <c r="N23" i="2"/>
  <c r="J37" i="2"/>
  <c r="N37" i="2"/>
  <c r="J38" i="2"/>
  <c r="N38" i="2"/>
  <c r="J47" i="2"/>
  <c r="N47" i="2"/>
  <c r="J48" i="2"/>
  <c r="N48" i="2"/>
  <c r="J49" i="2"/>
  <c r="N49" i="2"/>
  <c r="J50" i="2"/>
  <c r="N50" i="2"/>
  <c r="J60" i="2"/>
  <c r="N60" i="2"/>
  <c r="J61" i="2"/>
  <c r="N61" i="2"/>
  <c r="J67" i="2"/>
  <c r="N67" i="2"/>
  <c r="J68" i="2"/>
  <c r="N68" i="2"/>
  <c r="J69" i="2"/>
  <c r="N69" i="2"/>
  <c r="J70" i="2"/>
  <c r="N70" i="2"/>
  <c r="J71" i="2"/>
  <c r="N71" i="2"/>
  <c r="J72" i="2"/>
  <c r="N72" i="2"/>
  <c r="J103" i="2"/>
  <c r="N103" i="2"/>
  <c r="J104" i="2"/>
  <c r="N104" i="2"/>
  <c r="J106" i="2"/>
  <c r="N106" i="2"/>
  <c r="J107" i="2"/>
  <c r="N107" i="2"/>
  <c r="J108" i="2"/>
  <c r="N108" i="2"/>
  <c r="J109" i="2"/>
  <c r="N109" i="2"/>
  <c r="J110" i="2"/>
  <c r="N110" i="2"/>
  <c r="J113" i="2"/>
  <c r="N113" i="2"/>
  <c r="J114" i="2"/>
  <c r="N114" i="2"/>
  <c r="J115" i="2"/>
  <c r="N115" i="2"/>
  <c r="J116" i="2"/>
  <c r="N116" i="2"/>
  <c r="J117" i="2"/>
  <c r="N117" i="2"/>
  <c r="J125" i="2"/>
  <c r="N125" i="2"/>
  <c r="J126" i="2"/>
  <c r="N126" i="2"/>
  <c r="J127" i="2"/>
  <c r="N127" i="2"/>
  <c r="J128" i="2"/>
  <c r="N128" i="2"/>
  <c r="J129" i="2"/>
  <c r="N129" i="2"/>
  <c r="J132" i="2"/>
  <c r="N132" i="2"/>
  <c r="J133" i="2"/>
  <c r="N133" i="2"/>
  <c r="J134" i="2"/>
  <c r="N134" i="2"/>
  <c r="J145" i="2"/>
  <c r="N145" i="2"/>
  <c r="J146" i="2"/>
  <c r="N146" i="2"/>
  <c r="J147" i="2"/>
  <c r="N147" i="2"/>
  <c r="J148" i="2"/>
  <c r="N148" i="2"/>
  <c r="J149" i="2"/>
  <c r="N149" i="2"/>
  <c r="J32" i="2"/>
  <c r="N32" i="2"/>
  <c r="J33" i="2"/>
  <c r="N33" i="2"/>
  <c r="J34" i="2"/>
  <c r="N34" i="2"/>
  <c r="B41" i="3"/>
  <c r="B44" i="3"/>
  <c r="H7" i="3"/>
  <c r="L62" i="2"/>
  <c r="N62" i="2"/>
  <c r="L64" i="2"/>
  <c r="N64" i="2"/>
  <c r="N56" i="2"/>
  <c r="L56" i="2"/>
  <c r="N120" i="2"/>
  <c r="L120" i="2"/>
  <c r="N57" i="2"/>
  <c r="L57" i="2"/>
  <c r="N121" i="2"/>
  <c r="L121" i="2"/>
  <c r="N42" i="2"/>
  <c r="L42" i="2"/>
  <c r="N54" i="2"/>
  <c r="L54" i="2"/>
  <c r="N58" i="2"/>
  <c r="L58" i="2"/>
  <c r="N43" i="2"/>
  <c r="L43" i="2"/>
  <c r="N55" i="2"/>
  <c r="L55" i="2"/>
  <c r="N59" i="2"/>
  <c r="L59" i="2"/>
  <c r="N65" i="2"/>
  <c r="L65" i="2"/>
  <c r="N122" i="2"/>
  <c r="L122" i="2"/>
  <c r="N123" i="2"/>
  <c r="L123" i="2"/>
  <c r="N44" i="2"/>
  <c r="L44" i="2"/>
  <c r="N45" i="2"/>
  <c r="L45" i="2"/>
  <c r="N40" i="2"/>
  <c r="L40" i="2"/>
  <c r="N52" i="2"/>
  <c r="L52" i="2"/>
  <c r="N66" i="2"/>
  <c r="L66" i="2"/>
  <c r="N124" i="2"/>
  <c r="L124" i="2"/>
  <c r="N41" i="2"/>
  <c r="L41" i="2"/>
  <c r="N53" i="2"/>
  <c r="L53" i="2"/>
  <c r="L63" i="2"/>
  <c r="N36" i="2"/>
  <c r="L36" i="2"/>
  <c r="N46" i="2"/>
  <c r="L46" i="2"/>
  <c r="N118" i="2"/>
  <c r="L118" i="2"/>
  <c r="N39" i="2"/>
  <c r="L39" i="2"/>
  <c r="N51" i="2"/>
  <c r="L51" i="2"/>
  <c r="N119" i="2"/>
  <c r="L119" i="2"/>
  <c r="N111" i="2"/>
  <c r="L111" i="2"/>
  <c r="N31" i="2"/>
  <c r="N28" i="2"/>
  <c r="L28" i="2"/>
  <c r="N26" i="2"/>
  <c r="L26" i="2"/>
  <c r="N35" i="2"/>
  <c r="B47" i="3"/>
  <c r="B35" i="3"/>
  <c r="H16" i="3"/>
  <c r="G16" i="3"/>
  <c r="F16" i="3"/>
  <c r="E16" i="3"/>
  <c r="D16" i="3"/>
  <c r="C16" i="3"/>
  <c r="F12" i="3"/>
  <c r="G9" i="3"/>
  <c r="D12" i="3"/>
  <c r="E8" i="3"/>
  <c r="B12" i="3"/>
  <c r="C11" i="3"/>
  <c r="H11" i="3"/>
  <c r="I11" i="3"/>
  <c r="G11" i="3"/>
  <c r="E11" i="3"/>
  <c r="G10" i="3"/>
  <c r="C10" i="3"/>
  <c r="H10" i="3"/>
  <c r="I10" i="3"/>
  <c r="H9" i="3"/>
  <c r="I9" i="3"/>
  <c r="C9" i="3"/>
  <c r="H8" i="3"/>
  <c r="I8" i="3"/>
  <c r="G8" i="3"/>
  <c r="C8" i="3"/>
  <c r="G7" i="3"/>
  <c r="G12" i="3"/>
  <c r="E7" i="3"/>
  <c r="D23" i="5"/>
  <c r="E23" i="5"/>
  <c r="F23" i="5"/>
  <c r="G23" i="5"/>
  <c r="H23" i="5"/>
  <c r="I23" i="5"/>
  <c r="J23" i="5"/>
  <c r="D20" i="5"/>
  <c r="E20" i="5"/>
  <c r="F20" i="5"/>
  <c r="G20" i="5"/>
  <c r="H20" i="5"/>
  <c r="I20" i="5"/>
  <c r="J20" i="5"/>
  <c r="D19" i="5"/>
  <c r="E19" i="5"/>
  <c r="F19" i="5"/>
  <c r="G19" i="5"/>
  <c r="H19" i="5"/>
  <c r="I19" i="5"/>
  <c r="J19" i="5"/>
  <c r="D18" i="5"/>
  <c r="E18" i="5"/>
  <c r="F18" i="5"/>
  <c r="G18" i="5"/>
  <c r="H18" i="5"/>
  <c r="I18" i="5"/>
  <c r="J18" i="5"/>
  <c r="D17" i="5"/>
  <c r="E17" i="5"/>
  <c r="F17" i="5"/>
  <c r="G17" i="5"/>
  <c r="H17" i="5"/>
  <c r="I17" i="5"/>
  <c r="J17" i="5"/>
  <c r="D16" i="5"/>
  <c r="E16" i="5"/>
  <c r="F16" i="5"/>
  <c r="G16" i="5"/>
  <c r="H16" i="5"/>
  <c r="I16" i="5"/>
  <c r="J16" i="5"/>
  <c r="D22" i="5"/>
  <c r="E22" i="5"/>
  <c r="F22" i="5"/>
  <c r="G22" i="5"/>
  <c r="H22" i="5"/>
  <c r="I22" i="5"/>
  <c r="J22" i="5"/>
  <c r="D21" i="5"/>
  <c r="E21" i="5"/>
  <c r="F21" i="5"/>
  <c r="G21" i="5"/>
  <c r="H21" i="5"/>
  <c r="I21" i="5"/>
  <c r="J21" i="5"/>
  <c r="D141" i="2"/>
  <c r="D144" i="2"/>
  <c r="J144" i="2"/>
  <c r="J8" i="3"/>
  <c r="K8" i="3"/>
  <c r="K9" i="3"/>
  <c r="J9" i="3"/>
  <c r="K10" i="3"/>
  <c r="J10" i="3"/>
  <c r="K11" i="3"/>
  <c r="J11" i="3"/>
  <c r="E10" i="3"/>
  <c r="E12" i="3"/>
  <c r="E9" i="3"/>
  <c r="B14" i="3"/>
  <c r="C7" i="3"/>
  <c r="J141" i="2"/>
  <c r="C12" i="3"/>
  <c r="I7" i="3"/>
  <c r="H12" i="3"/>
  <c r="I12" i="3"/>
  <c r="K7" i="3"/>
  <c r="K14" i="3"/>
  <c r="J7" i="3"/>
  <c r="J14" i="3"/>
  <c r="F34" i="3"/>
  <c r="F36" i="3"/>
  <c r="B34" i="3"/>
  <c r="E34" i="3"/>
  <c r="E36" i="3"/>
  <c r="H34" i="3"/>
  <c r="H36" i="3"/>
  <c r="D34" i="3"/>
  <c r="D36" i="3"/>
  <c r="G34" i="3"/>
  <c r="G36" i="3"/>
  <c r="C34" i="3"/>
  <c r="C36" i="3"/>
  <c r="C38" i="3"/>
  <c r="C37" i="3"/>
  <c r="E37" i="3"/>
  <c r="E38" i="3"/>
  <c r="G38" i="3"/>
  <c r="G37" i="3"/>
  <c r="B36" i="3"/>
  <c r="H38" i="3"/>
  <c r="H37" i="3"/>
  <c r="D37" i="3"/>
  <c r="D38" i="3"/>
  <c r="F38" i="3"/>
  <c r="F37" i="3"/>
  <c r="B38" i="3"/>
  <c r="B37" i="3"/>
  <c r="B43" i="3"/>
  <c r="B42" i="3"/>
  <c r="B45" i="3"/>
  <c r="B46" i="3"/>
  <c r="B48" i="3"/>
  <c r="Q129" i="1"/>
  <c r="P129" i="1"/>
  <c r="O17" i="1"/>
  <c r="O93" i="1"/>
  <c r="O127" i="1"/>
  <c r="O129" i="1"/>
  <c r="E129" i="1"/>
  <c r="D129" i="1"/>
  <c r="C129" i="1"/>
  <c r="Y127" i="1"/>
  <c r="X127" i="1"/>
  <c r="W127" i="1"/>
  <c r="V127" i="1"/>
  <c r="U127" i="1"/>
  <c r="T127" i="1"/>
  <c r="S127" i="1"/>
  <c r="R127" i="1"/>
  <c r="Q127" i="1"/>
  <c r="P127" i="1"/>
  <c r="M127" i="1"/>
  <c r="L127" i="1"/>
  <c r="K127" i="1"/>
  <c r="J127" i="1"/>
  <c r="I127" i="1"/>
  <c r="H127" i="1"/>
  <c r="G127" i="1"/>
  <c r="F127" i="1"/>
  <c r="E127" i="1"/>
  <c r="D127" i="1"/>
  <c r="C127" i="1"/>
  <c r="V125" i="1"/>
  <c r="U125" i="1"/>
  <c r="O125" i="1"/>
  <c r="J125" i="1"/>
  <c r="I125" i="1"/>
  <c r="C125" i="1"/>
  <c r="V117" i="1"/>
  <c r="U117" i="1"/>
  <c r="O117" i="1"/>
  <c r="J117" i="1"/>
  <c r="I117" i="1"/>
  <c r="C117" i="1"/>
  <c r="V112" i="1"/>
  <c r="U112" i="1"/>
  <c r="O112" i="1"/>
  <c r="J112" i="1"/>
  <c r="I112" i="1"/>
  <c r="C112" i="1"/>
  <c r="V100" i="1"/>
  <c r="U100" i="1"/>
  <c r="O100" i="1"/>
  <c r="J100" i="1"/>
  <c r="I100" i="1"/>
  <c r="C100" i="1"/>
  <c r="Y93" i="1"/>
  <c r="X93" i="1"/>
  <c r="W93" i="1"/>
  <c r="V93" i="1"/>
  <c r="U93" i="1"/>
  <c r="T93" i="1"/>
  <c r="S93" i="1"/>
  <c r="R93" i="1"/>
  <c r="Q93" i="1"/>
  <c r="P93" i="1"/>
  <c r="M93" i="1"/>
  <c r="L93" i="1"/>
  <c r="K93" i="1"/>
  <c r="J93" i="1"/>
  <c r="I93" i="1"/>
  <c r="H93" i="1"/>
  <c r="G93" i="1"/>
  <c r="F93" i="1"/>
  <c r="E93" i="1"/>
  <c r="D93" i="1"/>
  <c r="C93" i="1"/>
  <c r="Y88" i="1"/>
  <c r="X88" i="1"/>
  <c r="W88" i="1"/>
  <c r="V88" i="1"/>
  <c r="U88" i="1"/>
  <c r="T88" i="1"/>
  <c r="S88" i="1"/>
  <c r="R88" i="1"/>
  <c r="Q88" i="1"/>
  <c r="P88" i="1"/>
  <c r="O88" i="1"/>
  <c r="M88" i="1"/>
  <c r="L88" i="1"/>
  <c r="K88" i="1"/>
  <c r="J88" i="1"/>
  <c r="I88" i="1"/>
  <c r="H88" i="1"/>
  <c r="G88" i="1"/>
  <c r="F88" i="1"/>
  <c r="E88" i="1"/>
  <c r="D88" i="1"/>
  <c r="C88" i="1"/>
  <c r="X87" i="1"/>
  <c r="L87" i="1"/>
  <c r="Y86" i="1"/>
  <c r="X86" i="1"/>
  <c r="M86" i="1"/>
  <c r="L86" i="1"/>
  <c r="Y85" i="1"/>
  <c r="X85" i="1"/>
  <c r="M85" i="1"/>
  <c r="L85" i="1"/>
  <c r="Y84" i="1"/>
  <c r="X84" i="1"/>
  <c r="M84" i="1"/>
  <c r="L84" i="1"/>
  <c r="Y83" i="1"/>
  <c r="X83" i="1"/>
  <c r="M83" i="1"/>
  <c r="L83" i="1"/>
  <c r="Y82" i="1"/>
  <c r="X82" i="1"/>
  <c r="M82" i="1"/>
  <c r="L82" i="1"/>
  <c r="Y81" i="1"/>
  <c r="X81" i="1"/>
  <c r="M81" i="1"/>
  <c r="L81" i="1"/>
  <c r="Y80" i="1"/>
  <c r="X80" i="1"/>
  <c r="M80" i="1"/>
  <c r="L80" i="1"/>
  <c r="Y79" i="1"/>
  <c r="X79" i="1"/>
  <c r="M79" i="1"/>
  <c r="L79" i="1"/>
  <c r="Y78" i="1"/>
  <c r="X78" i="1"/>
  <c r="M78" i="1"/>
  <c r="L78" i="1"/>
  <c r="Y77" i="1"/>
  <c r="X77" i="1"/>
  <c r="M77" i="1"/>
  <c r="L77" i="1"/>
  <c r="Y75" i="1"/>
  <c r="X75" i="1"/>
  <c r="M75" i="1"/>
  <c r="L75" i="1"/>
  <c r="Y74" i="1"/>
  <c r="X74" i="1"/>
  <c r="M74" i="1"/>
  <c r="L74" i="1"/>
  <c r="X73" i="1"/>
  <c r="L73" i="1"/>
  <c r="Y72" i="1"/>
  <c r="X72" i="1"/>
  <c r="M72" i="1"/>
  <c r="L72" i="1"/>
  <c r="Y71" i="1"/>
  <c r="X71" i="1"/>
  <c r="M71" i="1"/>
  <c r="L71" i="1"/>
  <c r="Y70" i="1"/>
  <c r="X70" i="1"/>
  <c r="M70" i="1"/>
  <c r="L70" i="1"/>
  <c r="X69" i="1"/>
  <c r="L69" i="1"/>
  <c r="X68" i="1"/>
  <c r="L68" i="1"/>
  <c r="X67" i="1"/>
  <c r="L67" i="1"/>
  <c r="Y66" i="1"/>
  <c r="X66" i="1"/>
  <c r="M66" i="1"/>
  <c r="L66" i="1"/>
  <c r="Y65" i="1"/>
  <c r="X65" i="1"/>
  <c r="M65" i="1"/>
  <c r="L65" i="1"/>
  <c r="Y64" i="1"/>
  <c r="X64" i="1"/>
  <c r="M64" i="1"/>
  <c r="L64" i="1"/>
  <c r="Y62" i="1"/>
  <c r="X62" i="1"/>
  <c r="M62" i="1"/>
  <c r="L62" i="1"/>
  <c r="Y61" i="1"/>
  <c r="X61" i="1"/>
  <c r="M61" i="1"/>
  <c r="L61" i="1"/>
  <c r="Y60" i="1"/>
  <c r="X60" i="1"/>
  <c r="M60" i="1"/>
  <c r="L60" i="1"/>
  <c r="Y58" i="1"/>
  <c r="X58" i="1"/>
  <c r="M58" i="1"/>
  <c r="L58" i="1"/>
  <c r="Y55" i="1"/>
  <c r="X55" i="1"/>
  <c r="W55" i="1"/>
  <c r="V55" i="1"/>
  <c r="U55" i="1"/>
  <c r="T55" i="1"/>
  <c r="S55" i="1"/>
  <c r="R55" i="1"/>
  <c r="Q55" i="1"/>
  <c r="P55" i="1"/>
  <c r="O55" i="1"/>
  <c r="M55" i="1"/>
  <c r="L55" i="1"/>
  <c r="K55" i="1"/>
  <c r="J55" i="1"/>
  <c r="I55" i="1"/>
  <c r="H55" i="1"/>
  <c r="G55" i="1"/>
  <c r="F55" i="1"/>
  <c r="E55" i="1"/>
  <c r="D55" i="1"/>
  <c r="C55" i="1"/>
  <c r="Y54" i="1"/>
  <c r="X54" i="1"/>
  <c r="W54" i="1"/>
  <c r="V54" i="1"/>
  <c r="U54" i="1"/>
  <c r="T54" i="1"/>
  <c r="S54" i="1"/>
  <c r="R54" i="1"/>
  <c r="Q54" i="1"/>
  <c r="P54" i="1"/>
  <c r="O54" i="1"/>
  <c r="M54" i="1"/>
  <c r="L54" i="1"/>
  <c r="K54" i="1"/>
  <c r="J54" i="1"/>
  <c r="I54" i="1"/>
  <c r="H54" i="1"/>
  <c r="G54" i="1"/>
  <c r="F54" i="1"/>
  <c r="E54" i="1"/>
  <c r="D54" i="1"/>
  <c r="C54" i="1"/>
  <c r="Y52" i="1"/>
  <c r="X52" i="1"/>
  <c r="W52" i="1"/>
  <c r="V52" i="1"/>
  <c r="U52" i="1"/>
  <c r="T52" i="1"/>
  <c r="S52" i="1"/>
  <c r="R52" i="1"/>
  <c r="Q52" i="1"/>
  <c r="P52" i="1"/>
  <c r="O52" i="1"/>
  <c r="M52" i="1"/>
  <c r="L52" i="1"/>
  <c r="K52" i="1"/>
  <c r="J52" i="1"/>
  <c r="I52" i="1"/>
  <c r="H52" i="1"/>
  <c r="G52" i="1"/>
  <c r="F52" i="1"/>
  <c r="E52" i="1"/>
  <c r="D52" i="1"/>
  <c r="C52" i="1"/>
  <c r="Y51" i="1"/>
  <c r="X51" i="1"/>
  <c r="M51" i="1"/>
  <c r="L51" i="1"/>
  <c r="Y50" i="1"/>
  <c r="X50" i="1"/>
  <c r="M50" i="1"/>
  <c r="L50" i="1"/>
  <c r="Y49" i="1"/>
  <c r="X49" i="1"/>
  <c r="M49" i="1"/>
  <c r="L49" i="1"/>
  <c r="Y48" i="1"/>
  <c r="X48" i="1"/>
  <c r="M48" i="1"/>
  <c r="L48" i="1"/>
  <c r="Y47" i="1"/>
  <c r="X47" i="1"/>
  <c r="M47" i="1"/>
  <c r="L47" i="1"/>
  <c r="Y44" i="1"/>
  <c r="X44" i="1"/>
  <c r="M44" i="1"/>
  <c r="L44" i="1"/>
  <c r="Y43" i="1"/>
  <c r="X43" i="1"/>
  <c r="M43" i="1"/>
  <c r="L43" i="1"/>
  <c r="Y42" i="1"/>
  <c r="X42" i="1"/>
  <c r="M42" i="1"/>
  <c r="L42" i="1"/>
  <c r="Y41" i="1"/>
  <c r="X41" i="1"/>
  <c r="M41" i="1"/>
  <c r="L41" i="1"/>
  <c r="Y40" i="1"/>
  <c r="X40" i="1"/>
  <c r="M40" i="1"/>
  <c r="L40" i="1"/>
  <c r="Y39" i="1"/>
  <c r="X39" i="1"/>
  <c r="M39" i="1"/>
  <c r="L39" i="1"/>
  <c r="Y38" i="1"/>
  <c r="X38" i="1"/>
  <c r="M38" i="1"/>
  <c r="L38" i="1"/>
  <c r="Y37" i="1"/>
  <c r="X37" i="1"/>
  <c r="M37" i="1"/>
  <c r="L37" i="1"/>
  <c r="Y36" i="1"/>
  <c r="X36" i="1"/>
  <c r="M36" i="1"/>
  <c r="L36" i="1"/>
  <c r="Y32" i="1"/>
  <c r="X32" i="1"/>
  <c r="W32" i="1"/>
  <c r="V32" i="1"/>
  <c r="U32" i="1"/>
  <c r="T32" i="1"/>
  <c r="S32" i="1"/>
  <c r="R32" i="1"/>
  <c r="Q32" i="1"/>
  <c r="P32" i="1"/>
  <c r="O32" i="1"/>
  <c r="M32" i="1"/>
  <c r="L32" i="1"/>
  <c r="K32" i="1"/>
  <c r="J32" i="1"/>
  <c r="I32" i="1"/>
  <c r="H32" i="1"/>
  <c r="G32" i="1"/>
  <c r="F32" i="1"/>
  <c r="E32" i="1"/>
  <c r="D32" i="1"/>
  <c r="C32" i="1"/>
  <c r="Y31" i="1"/>
  <c r="X31" i="1"/>
  <c r="M31" i="1"/>
  <c r="L31" i="1"/>
  <c r="Y30" i="1"/>
  <c r="X30" i="1"/>
  <c r="M30" i="1"/>
  <c r="L30" i="1"/>
  <c r="Y29" i="1"/>
  <c r="X29" i="1"/>
  <c r="M29" i="1"/>
  <c r="L29" i="1"/>
  <c r="Y28" i="1"/>
  <c r="X28" i="1"/>
  <c r="M28" i="1"/>
  <c r="L28" i="1"/>
  <c r="Y27" i="1"/>
  <c r="X27" i="1"/>
  <c r="M27" i="1"/>
  <c r="L27" i="1"/>
  <c r="Y26" i="1"/>
  <c r="X26" i="1"/>
  <c r="M26" i="1"/>
  <c r="L26" i="1"/>
  <c r="Y25" i="1"/>
  <c r="X25" i="1"/>
  <c r="M25" i="1"/>
  <c r="L25" i="1"/>
  <c r="Y24" i="1"/>
  <c r="X24" i="1"/>
  <c r="M24" i="1"/>
  <c r="L24" i="1"/>
  <c r="Y21" i="1"/>
  <c r="M21" i="1"/>
  <c r="Y20" i="1"/>
  <c r="X20" i="1"/>
  <c r="M20" i="1"/>
  <c r="L20" i="1"/>
  <c r="Y17" i="1"/>
  <c r="X17" i="1"/>
  <c r="W17" i="1"/>
  <c r="V17" i="1"/>
  <c r="U17" i="1"/>
  <c r="T17" i="1"/>
  <c r="S17" i="1"/>
  <c r="R17" i="1"/>
  <c r="Q17" i="1"/>
  <c r="P17" i="1"/>
  <c r="M17" i="1"/>
  <c r="L17" i="1"/>
  <c r="K17" i="1"/>
  <c r="J17" i="1"/>
  <c r="I17" i="1"/>
  <c r="H17" i="1"/>
  <c r="G17" i="1"/>
  <c r="F17" i="1"/>
  <c r="E17" i="1"/>
  <c r="D17" i="1"/>
  <c r="C17" i="1"/>
  <c r="Y16" i="1"/>
  <c r="X16" i="1"/>
  <c r="M16" i="1"/>
  <c r="L16" i="1"/>
  <c r="Y14" i="1"/>
  <c r="X14" i="1"/>
  <c r="M14" i="1"/>
  <c r="L14" i="1"/>
  <c r="Y13" i="1"/>
  <c r="M13" i="1"/>
  <c r="Y11" i="1"/>
  <c r="X11" i="1"/>
  <c r="M11" i="1"/>
  <c r="L11" i="1"/>
  <c r="Y10" i="1"/>
  <c r="X10" i="1"/>
  <c r="M10" i="1"/>
  <c r="L10" i="1"/>
  <c r="Y9" i="1"/>
  <c r="X9" i="1"/>
  <c r="M9" i="1"/>
  <c r="L9" i="1"/>
  <c r="Y8" i="1"/>
  <c r="X8" i="1"/>
  <c r="M8" i="1"/>
  <c r="L8" i="1"/>
  <c r="Y7" i="1"/>
  <c r="X7" i="1"/>
  <c r="M7" i="1"/>
  <c r="L7" i="1"/>
  <c r="F123" i="10"/>
  <c r="F127" i="10"/>
  <c r="K123" i="10"/>
  <c r="K127" i="10"/>
  <c r="S123" i="10"/>
  <c r="S127" i="10"/>
  <c r="X123" i="10"/>
  <c r="X127" i="10"/>
  <c r="Z123" i="10"/>
  <c r="Z127" i="10"/>
  <c r="P123" i="10"/>
  <c r="P127" i="10"/>
  <c r="I123" i="10"/>
  <c r="I127" i="10"/>
  <c r="E123" i="10"/>
  <c r="E127" i="10"/>
  <c r="U123" i="10"/>
  <c r="U127" i="10"/>
  <c r="AC123" i="10"/>
  <c r="AC127" i="10"/>
  <c r="D123" i="10"/>
  <c r="D127" i="10"/>
  <c r="Y123" i="10"/>
  <c r="Y127" i="10"/>
  <c r="AB123" i="10"/>
  <c r="AB127" i="10"/>
  <c r="AE123" i="10"/>
  <c r="AE127" i="10"/>
  <c r="J123" i="10"/>
  <c r="J127" i="10"/>
  <c r="O123" i="10"/>
  <c r="O127" i="10"/>
  <c r="AH123" i="10"/>
  <c r="AH127" i="10"/>
  <c r="W123" i="10"/>
  <c r="W127" i="10"/>
  <c r="H123" i="10"/>
  <c r="H127" i="10"/>
  <c r="AF123" i="10"/>
  <c r="AF127" i="10"/>
  <c r="AD123" i="10"/>
  <c r="AD127" i="10"/>
  <c r="N123" i="10"/>
  <c r="N127" i="10"/>
  <c r="T123" i="10"/>
  <c r="T127" i="10"/>
  <c r="D6" i="2"/>
  <c r="F6" i="2"/>
  <c r="E14" i="2"/>
  <c r="M14" i="2"/>
  <c r="E10" i="2"/>
  <c r="E9" i="2"/>
  <c r="E12" i="2"/>
  <c r="E16" i="2"/>
  <c r="E7" i="2"/>
  <c r="E11" i="2"/>
  <c r="E8" i="2"/>
  <c r="E6" i="2"/>
  <c r="E13" i="2"/>
  <c r="M13" i="2"/>
  <c r="M15" i="2"/>
  <c r="M17" i="2"/>
  <c r="D15" i="2"/>
  <c r="D17" i="2"/>
  <c r="E17" i="2"/>
  <c r="E15" i="2"/>
  <c r="D15" i="5"/>
  <c r="D24" i="5"/>
  <c r="D26" i="5"/>
  <c r="Z21" i="2"/>
  <c r="E15" i="5"/>
  <c r="E24" i="5"/>
  <c r="E26" i="5"/>
  <c r="J140" i="2"/>
  <c r="L140" i="2"/>
  <c r="F15" i="5"/>
  <c r="F24" i="5"/>
  <c r="F26" i="5"/>
  <c r="V21" i="2"/>
  <c r="G15" i="5"/>
  <c r="G24" i="5"/>
  <c r="G26" i="5"/>
  <c r="H15" i="5"/>
  <c r="H24" i="5"/>
  <c r="H26" i="5"/>
  <c r="I15" i="5"/>
  <c r="J15" i="5"/>
  <c r="J24" i="5"/>
  <c r="J26" i="5"/>
  <c r="I24" i="5"/>
  <c r="I26" i="5"/>
  <c r="P21" i="2"/>
  <c r="AB21" i="2"/>
  <c r="X21" i="2"/>
  <c r="N140" i="2"/>
  <c r="T21" i="2"/>
  <c r="AA21" i="2"/>
  <c r="M40" i="12"/>
</calcChain>
</file>

<file path=xl/sharedStrings.xml><?xml version="1.0" encoding="utf-8"?>
<sst xmlns="http://schemas.openxmlformats.org/spreadsheetml/2006/main" count="3025" uniqueCount="678">
  <si>
    <t>Residential Portfolio</t>
  </si>
  <si>
    <t>Energy Advisor Program</t>
  </si>
  <si>
    <t>Multifamily Energy Efficiency Rebate Program</t>
  </si>
  <si>
    <t>Plug Load and Appliances Program</t>
  </si>
  <si>
    <t>Comprehensive Manufactured Homes</t>
  </si>
  <si>
    <t>Primary Lighting Program</t>
  </si>
  <si>
    <t>WE&amp;T Connections</t>
  </si>
  <si>
    <t>Residential New Construction Program</t>
  </si>
  <si>
    <t>Energy Upgrade California</t>
  </si>
  <si>
    <t>Residential HVAC Program</t>
  </si>
  <si>
    <t>Residential Portfolio Total</t>
  </si>
  <si>
    <t>Business Portfolio</t>
  </si>
  <si>
    <t>Nonresidential HVAC Program</t>
  </si>
  <si>
    <t>Business Portfolio - Core</t>
  </si>
  <si>
    <t>Savings by Design</t>
  </si>
  <si>
    <t>Commercial Deemed Incentives Program</t>
  </si>
  <si>
    <t>Industrial Calculated Energy Efficiency Program</t>
  </si>
  <si>
    <t>Industrial Deemed Energy Efficiency Program</t>
  </si>
  <si>
    <t>Agriculture Calculated Energy Efficiency Program</t>
  </si>
  <si>
    <t>Agriculture Deemed Energy Efficiency Program</t>
  </si>
  <si>
    <t>Midstream Point of Purchase</t>
  </si>
  <si>
    <t>Business Portfolio - Core Total</t>
  </si>
  <si>
    <t>Business Portfolio - Third Party</t>
  </si>
  <si>
    <t>Cool Planet</t>
  </si>
  <si>
    <t>Healthcare EE Program</t>
  </si>
  <si>
    <t>Data Center Energy Efficiency</t>
  </si>
  <si>
    <t>Lodging EE Program</t>
  </si>
  <si>
    <t>Food &amp; Kindred Products</t>
  </si>
  <si>
    <t>Primary and Fabricated Metals</t>
  </si>
  <si>
    <t>Nonmetallic Minerals and Products</t>
  </si>
  <si>
    <t>Comprehensive Chemical Products</t>
  </si>
  <si>
    <t>Comprehensive Petroleum Refining</t>
  </si>
  <si>
    <t>Oil Production</t>
  </si>
  <si>
    <t>Cool Schools</t>
  </si>
  <si>
    <t>Commercial Utility Building Efficiency</t>
  </si>
  <si>
    <t>School Energy Efficiency Program</t>
  </si>
  <si>
    <t>Enhanced Retrocommissioning</t>
  </si>
  <si>
    <t>Commercial Direct Install Program</t>
  </si>
  <si>
    <t>Business Portfolio - Third Party Total</t>
  </si>
  <si>
    <t>Business Portfolio Total</t>
  </si>
  <si>
    <t>Partnership Portfolio</t>
  </si>
  <si>
    <t>Energy Leader Partnership Future Affinity + IGREEN + Federals</t>
  </si>
  <si>
    <t>City of Beaumont Energy Leader Partnership</t>
  </si>
  <si>
    <t>City of Long Beach Energy Leader Partnership</t>
  </si>
  <si>
    <t>City of Redlands Energy Leader Partnership</t>
  </si>
  <si>
    <t>City of Santa Ana Energy Leader Partnership</t>
  </si>
  <si>
    <t>City of Simi Valley Energy Leader Partnership</t>
  </si>
  <si>
    <t>Gateway Cities Energy Leader Partnership</t>
  </si>
  <si>
    <t>Community Energy Leader Partnership</t>
  </si>
  <si>
    <t>Eastern Sierra Energy Leader Partnership</t>
  </si>
  <si>
    <t>Desert Cities Energy Leader Partnership</t>
  </si>
  <si>
    <t>Kern County Energy Leader Partnership</t>
  </si>
  <si>
    <t>Orange County Cities Energy Leader Partnership</t>
  </si>
  <si>
    <t>San Gabriel Valley Energy Leader Partnership</t>
  </si>
  <si>
    <t>San Joaquin Valley Energy Leader Partnership</t>
  </si>
  <si>
    <t>South Bay Energy Leader Partnership</t>
  </si>
  <si>
    <t>South Santa Barbara County Energy Leader Partnership</t>
  </si>
  <si>
    <t>Ventura County Energy Leader Partnership</t>
  </si>
  <si>
    <t>Western Riverside Energy Leader Partnership</t>
  </si>
  <si>
    <t>City of Adelanto Energy Leader Partnership</t>
  </si>
  <si>
    <t>West Side Energy Leader Partnership</t>
  </si>
  <si>
    <t>California Community Colleges Energy Efficiency Partnership</t>
  </si>
  <si>
    <t>California Dept. of Corrections and Rehabilitation EE Partnership</t>
  </si>
  <si>
    <t>County of Los Angeles Energy Efficiency Partnership</t>
  </si>
  <si>
    <t>County of Riverside Energy Efficiency Partnership</t>
  </si>
  <si>
    <t>County of San Bernardino Energy Efficiency Partnership</t>
  </si>
  <si>
    <t>State of California Energy Efficiency Partnership</t>
  </si>
  <si>
    <t>San Bernardino Association of Governments</t>
  </si>
  <si>
    <t>Partnership Portfolio Total</t>
  </si>
  <si>
    <t>Codes and Standards</t>
  </si>
  <si>
    <t>Residential Portfolio (Non-Resource)</t>
  </si>
  <si>
    <t>Lighting Market Transformation Program</t>
  </si>
  <si>
    <t>WE&amp;T Centergies</t>
  </si>
  <si>
    <t>WE&amp;T Planning</t>
  </si>
  <si>
    <t>Residential Portfolio (Non-Resource) Total</t>
  </si>
  <si>
    <t>Business Portfolio (Non-Resource)</t>
  </si>
  <si>
    <t>Commercial Energy Advisor Program</t>
  </si>
  <si>
    <t>Commercial Continuous Energy Improvement</t>
  </si>
  <si>
    <t>Industrial Energy Advisor Program</t>
  </si>
  <si>
    <t>Industrial Continuous Energy Improvement Program</t>
  </si>
  <si>
    <t>Agriculture Energy Advisor Program</t>
  </si>
  <si>
    <t>Agriculture Continuous Energy Improvement Program</t>
  </si>
  <si>
    <t>On-Bill Financing</t>
  </si>
  <si>
    <t>ARRA-Originated Financing</t>
  </si>
  <si>
    <t>Integrated Demand Side Management Pilot for Food Processing</t>
  </si>
  <si>
    <t>Business Portfolio (Non-Resource) Total</t>
  </si>
  <si>
    <t>Partnership Portfolio (Non-Resource)</t>
  </si>
  <si>
    <t>Sustainable Communities</t>
  </si>
  <si>
    <t>Energy Leader Partnership Strategic Support (ICLEI)</t>
  </si>
  <si>
    <t>Local Government Strategic Planning Pilot Program</t>
  </si>
  <si>
    <t>Partnership Portfolio (Non-Resource) Total</t>
  </si>
  <si>
    <t>Other (Non-Resource)</t>
  </si>
  <si>
    <t>Emerging Technologies Program</t>
  </si>
  <si>
    <t>Integrated Demand Side Management Program</t>
  </si>
  <si>
    <t>EM&amp;V SCE</t>
  </si>
  <si>
    <t>EM&amp;V CPUC</t>
  </si>
  <si>
    <t>Regional Energy Network Pilot (REN)</t>
  </si>
  <si>
    <t>Other (Non-Resource) Total</t>
  </si>
  <si>
    <t>kWh</t>
  </si>
  <si>
    <t>kW</t>
  </si>
  <si>
    <r>
      <t xml:space="preserve">SCE Total (Resource and Non-Resource) </t>
    </r>
    <r>
      <rPr>
        <b/>
        <vertAlign val="superscript"/>
        <sz val="18"/>
        <color theme="0"/>
        <rFont val="Arial"/>
        <family val="2"/>
      </rPr>
      <t>(1)</t>
    </r>
  </si>
  <si>
    <r>
      <t xml:space="preserve">SCE Total (Resource Only) </t>
    </r>
    <r>
      <rPr>
        <b/>
        <vertAlign val="superscript"/>
        <sz val="18"/>
        <color indexed="8"/>
        <rFont val="Arial"/>
        <family val="2"/>
      </rPr>
      <t>(1)</t>
    </r>
  </si>
  <si>
    <r>
      <t>Energy Savings Assistance Program</t>
    </r>
    <r>
      <rPr>
        <b/>
        <vertAlign val="superscript"/>
        <sz val="18"/>
        <rFont val="Arial"/>
        <family val="2"/>
      </rPr>
      <t xml:space="preserve"> </t>
    </r>
  </si>
  <si>
    <t>Program ID</t>
  </si>
  <si>
    <t>SCE-17-SW-001A</t>
  </si>
  <si>
    <t>SCE-17-SW-001C</t>
  </si>
  <si>
    <t>SCE-17-SW-001B</t>
  </si>
  <si>
    <t>SCE-17-TP-001</t>
  </si>
  <si>
    <t>SCE-17-SW-005C</t>
  </si>
  <si>
    <t>SCE-17-SW-010B</t>
  </si>
  <si>
    <t>SCE-17-SW-001F</t>
  </si>
  <si>
    <t>SCE-17-SW-001D</t>
  </si>
  <si>
    <t>SCE-17-SW-001E</t>
  </si>
  <si>
    <t>SCE-17-SW-002F</t>
  </si>
  <si>
    <t>SCE-17-SW-002B</t>
  </si>
  <si>
    <t>SCE-17-SW-002G</t>
  </si>
  <si>
    <t>SCE-17-SW-002C</t>
  </si>
  <si>
    <t>SCE-17-SW-003B</t>
  </si>
  <si>
    <t>SCE-17-SW-003C</t>
  </si>
  <si>
    <t>SCE-17-SW-004B</t>
  </si>
  <si>
    <t>SCE-17-SW-004C</t>
  </si>
  <si>
    <t>SCE-17-SW-005B</t>
  </si>
  <si>
    <t>SCE-17-TP-003</t>
  </si>
  <si>
    <t>SCE-17-TP-004</t>
  </si>
  <si>
    <t>SCE-17-TP-005</t>
  </si>
  <si>
    <t>SCE-17-TP-006</t>
  </si>
  <si>
    <t>SCE-17-TP-007</t>
  </si>
  <si>
    <t>SCE-17-TP-008</t>
  </si>
  <si>
    <t>SCE-17-TP-009</t>
  </si>
  <si>
    <t>SCE-17-TP-010</t>
  </si>
  <si>
    <t>SCE-17-TP-011</t>
  </si>
  <si>
    <t>SCE-17-TP-013</t>
  </si>
  <si>
    <t>SCE-17-TP-014</t>
  </si>
  <si>
    <t>SCE-17-TP-018</t>
  </si>
  <si>
    <t>SCE-17-TP-021</t>
  </si>
  <si>
    <t>SCE-17-TP-020</t>
  </si>
  <si>
    <t>SCE-17-SW-002D</t>
  </si>
  <si>
    <t>SCE-17-L-002B</t>
  </si>
  <si>
    <t>SCE-17-L-002C</t>
  </si>
  <si>
    <t>SCE-17-L-002D</t>
  </si>
  <si>
    <t>SCE-17-L-002F</t>
  </si>
  <si>
    <t>SCE-17-L-002G</t>
  </si>
  <si>
    <t>SCE-17-L-002H</t>
  </si>
  <si>
    <t>SCE-17-L-002J</t>
  </si>
  <si>
    <t>SCE-17-L-002K</t>
  </si>
  <si>
    <t>SCE-17-L-002L</t>
  </si>
  <si>
    <t>SCE-17-L-002M</t>
  </si>
  <si>
    <t>SCE-17-L-002N</t>
  </si>
  <si>
    <t>SCE-17-L-002O</t>
  </si>
  <si>
    <t>SCE-17-L-002P</t>
  </si>
  <si>
    <t>SCE-17-L-002Q</t>
  </si>
  <si>
    <t>SCE-17-L-002R</t>
  </si>
  <si>
    <t>SCE-17-L-002T</t>
  </si>
  <si>
    <t>SCE-17-L-003A</t>
  </si>
  <si>
    <t>SCE-17-L-003B</t>
  </si>
  <si>
    <t>SCE-17-L-003C</t>
  </si>
  <si>
    <t>SCE-17-L-003D</t>
  </si>
  <si>
    <t>SCE-17-L-003E</t>
  </si>
  <si>
    <t>SCE-17-L-003F</t>
  </si>
  <si>
    <t>SCE-17-L-003G</t>
  </si>
  <si>
    <t>SCE-17-L-002-1</t>
  </si>
  <si>
    <t>3OV0100</t>
  </si>
  <si>
    <t>3OV0200</t>
  </si>
  <si>
    <t>SCE-17-SW-005A</t>
  </si>
  <si>
    <t>SCE-17-SW-010A</t>
  </si>
  <si>
    <t>SCE-17-SW-010C</t>
  </si>
  <si>
    <t>SCE-17-SW-002A</t>
  </si>
  <si>
    <t>SCE-17-SW-002E</t>
  </si>
  <si>
    <t>SCE-17-SW-003A</t>
  </si>
  <si>
    <t>SCE-17-SW-003D</t>
  </si>
  <si>
    <t>SCE-17-SW-004A</t>
  </si>
  <si>
    <t>SCE-17-SW-004D</t>
  </si>
  <si>
    <t>SCE-17-SW-007A</t>
  </si>
  <si>
    <t>SCE-17-SW-007B</t>
  </si>
  <si>
    <t>SCE-17-L-001</t>
  </si>
  <si>
    <t>SCE-17-TP-019</t>
  </si>
  <si>
    <t>SCE-17-L-002I</t>
  </si>
  <si>
    <t>SCE-17-L-002U</t>
  </si>
  <si>
    <t>SCE-17-SW-009</t>
  </si>
  <si>
    <t>SCE-17-SW-006</t>
  </si>
  <si>
    <t>SCE-13-L-002E</t>
  </si>
  <si>
    <t>SCE-13-L-002A</t>
  </si>
  <si>
    <t>SCE-13-L-002Rollup</t>
  </si>
  <si>
    <t>SCE-13-L-002V</t>
  </si>
  <si>
    <t>SCE-13-L-002W</t>
  </si>
  <si>
    <t>[2] Operating budget includes latest OpX 17B adjustments to authorized budget.</t>
  </si>
  <si>
    <t>SCE-13-SW-008</t>
  </si>
  <si>
    <t xml:space="preserve">2017 Total Budget </t>
  </si>
  <si>
    <t>PRP kW</t>
  </si>
  <si>
    <t>BCD Influenced Programs Total</t>
  </si>
  <si>
    <t>Variance</t>
  </si>
  <si>
    <t>[1]  Resource Programs Budgets does not include ESA.  However does include the kWh and kW savings.</t>
  </si>
  <si>
    <t>Energy Efficiency Program Name</t>
  </si>
  <si>
    <t xml:space="preserve">2017 Energy Efficiency Annual Budget Filing </t>
  </si>
  <si>
    <t>Goal</t>
  </si>
  <si>
    <t>SoCalREN</t>
  </si>
  <si>
    <t>[3] Refinery and Agriculture Energy Advisor Programs not shown individually, but are reflected in totals</t>
  </si>
  <si>
    <t>SCE-17-TP-020-A</t>
  </si>
  <si>
    <t>Commercial Calculated Energy Efficiency Program</t>
  </si>
  <si>
    <t>Residential Direct Install</t>
  </si>
  <si>
    <t>UC/CSU Energy Efficiency Partnership</t>
  </si>
  <si>
    <t>North Orange County Cities</t>
  </si>
  <si>
    <t>High Desert Regional Energy Leader Partnership</t>
  </si>
  <si>
    <t>TRC Cost</t>
  </si>
  <si>
    <r>
      <t xml:space="preserve">TRC </t>
    </r>
    <r>
      <rPr>
        <b/>
        <vertAlign val="superscript"/>
        <sz val="18"/>
        <rFont val="Arial"/>
        <family val="2"/>
      </rPr>
      <t>(4)</t>
    </r>
  </si>
  <si>
    <t>[4] TRC Calculation includes an estimated $22.5M in ESPI and $17.6M in P&amp;B</t>
  </si>
  <si>
    <t xml:space="preserve">Not Included </t>
  </si>
  <si>
    <t>Not Included</t>
  </si>
  <si>
    <t>SCE-17-TP-020-B</t>
  </si>
  <si>
    <t>SCE-13-SW-001D1</t>
  </si>
  <si>
    <t>Cost per kWh</t>
  </si>
  <si>
    <t>Cost per kW</t>
  </si>
  <si>
    <t>PAC</t>
  </si>
  <si>
    <t>PAC Cost</t>
  </si>
  <si>
    <t>TRC/PAC Benefit</t>
  </si>
  <si>
    <t>2017 (FINAL)</t>
  </si>
  <si>
    <t>Water Infrastructure Systems EE Program</t>
  </si>
  <si>
    <t>Midsize Industrial Customer Program</t>
  </si>
  <si>
    <t>IDEEA365 Program</t>
  </si>
  <si>
    <t xml:space="preserve">2018 Total Budget </t>
  </si>
  <si>
    <t>2018 (2017 Baseline with Avoided Cost and estimated 2018 Update)</t>
  </si>
  <si>
    <t>Sector</t>
  </si>
  <si>
    <t>R</t>
  </si>
  <si>
    <t>C</t>
  </si>
  <si>
    <t>I</t>
  </si>
  <si>
    <t>A</t>
  </si>
  <si>
    <t>P</t>
  </si>
  <si>
    <t xml:space="preserve">Energy Savings Assistance Program </t>
  </si>
  <si>
    <t>SCE Total (Resource Only) (1)</t>
  </si>
  <si>
    <t>SCE Total (Resource and Non-Resource) (1)</t>
  </si>
  <si>
    <t>ET</t>
  </si>
  <si>
    <t>C&amp;S</t>
  </si>
  <si>
    <t>WE&amp;T</t>
  </si>
  <si>
    <t>% Breakdown</t>
  </si>
  <si>
    <t>EM&amp;V/REN</t>
  </si>
  <si>
    <t>EM&amp;V</t>
  </si>
  <si>
    <t>REN</t>
  </si>
  <si>
    <t>Total</t>
  </si>
  <si>
    <t>Goal Annual % Change in GWh (for scaling resource programs)</t>
  </si>
  <si>
    <t>ET (budget assumed to be straightlined)</t>
  </si>
  <si>
    <t>C&amp;S (budget assumed to be straightlined)</t>
  </si>
  <si>
    <t>WE&amp;T (budget assumed to be straightlined)</t>
  </si>
  <si>
    <t>EM&amp;V/REN (budget assumed to be straightlined)</t>
  </si>
  <si>
    <t>Residential</t>
  </si>
  <si>
    <t>Commercial</t>
  </si>
  <si>
    <t xml:space="preserve">Industrial </t>
  </si>
  <si>
    <t>Agricultural</t>
  </si>
  <si>
    <t>Public</t>
  </si>
  <si>
    <t>Target</t>
  </si>
  <si>
    <t>Buffer (for TRC purposes, since 2018 TRC is 0.6)</t>
  </si>
  <si>
    <t>Sub-program to Sector (estimate)</t>
  </si>
  <si>
    <t>Buffer</t>
  </si>
  <si>
    <t>Target (straightlined)</t>
  </si>
  <si>
    <t xml:space="preserve">2017 Energy Efficiency Compliance Filing </t>
  </si>
  <si>
    <t>Non-Incentives Budget</t>
  </si>
  <si>
    <t>Codes &amp; Standards</t>
  </si>
  <si>
    <t>Programs</t>
  </si>
  <si>
    <t>Incentives Only</t>
  </si>
  <si>
    <t>% of Incentive</t>
  </si>
  <si>
    <r>
      <t xml:space="preserve">kWh </t>
    </r>
    <r>
      <rPr>
        <b/>
        <vertAlign val="superscript"/>
        <sz val="11"/>
        <color theme="0"/>
        <rFont val="Calibri"/>
        <family val="2"/>
        <scheme val="minor"/>
      </rPr>
      <t>(4)</t>
    </r>
  </si>
  <si>
    <t>% of kWh</t>
  </si>
  <si>
    <r>
      <t xml:space="preserve">kW </t>
    </r>
    <r>
      <rPr>
        <b/>
        <vertAlign val="superscript"/>
        <sz val="11"/>
        <color theme="0"/>
        <rFont val="Calibri"/>
        <family val="2"/>
        <scheme val="minor"/>
      </rPr>
      <t>(4)</t>
    </r>
  </si>
  <si>
    <t>% of kW</t>
  </si>
  <si>
    <r>
      <t xml:space="preserve">Non-Incentive Budget </t>
    </r>
    <r>
      <rPr>
        <b/>
        <vertAlign val="superscript"/>
        <sz val="11"/>
        <color theme="0"/>
        <rFont val="Calibri"/>
        <family val="2"/>
        <scheme val="minor"/>
      </rPr>
      <t>(2)</t>
    </r>
  </si>
  <si>
    <r>
      <t xml:space="preserve">Total Budget (no C&amp;S) </t>
    </r>
    <r>
      <rPr>
        <b/>
        <vertAlign val="superscript"/>
        <sz val="11"/>
        <color theme="0"/>
        <rFont val="Calibri"/>
        <family val="2"/>
        <scheme val="minor"/>
      </rPr>
      <t>(1)</t>
    </r>
  </si>
  <si>
    <r>
      <t xml:space="preserve">$/kWh </t>
    </r>
    <r>
      <rPr>
        <b/>
        <vertAlign val="superscript"/>
        <sz val="11"/>
        <color theme="0"/>
        <rFont val="Calibri"/>
        <family val="2"/>
        <scheme val="minor"/>
      </rPr>
      <t>(5)</t>
    </r>
  </si>
  <si>
    <r>
      <t xml:space="preserve">$/kW </t>
    </r>
    <r>
      <rPr>
        <b/>
        <vertAlign val="superscript"/>
        <sz val="11"/>
        <color theme="0"/>
        <rFont val="Calibri"/>
        <family val="2"/>
        <scheme val="minor"/>
      </rPr>
      <t>(5)</t>
    </r>
  </si>
  <si>
    <t>Industrial</t>
  </si>
  <si>
    <t>Sub Total</t>
  </si>
  <si>
    <r>
      <t xml:space="preserve">Total 2017 Request </t>
    </r>
    <r>
      <rPr>
        <b/>
        <vertAlign val="superscript"/>
        <sz val="11"/>
        <color theme="1"/>
        <rFont val="Calibri"/>
        <family val="2"/>
        <scheme val="minor"/>
      </rPr>
      <t>(4)</t>
    </r>
  </si>
  <si>
    <r>
      <t xml:space="preserve">Portfolio Weighted Average </t>
    </r>
    <r>
      <rPr>
        <b/>
        <vertAlign val="superscript"/>
        <sz val="11"/>
        <color theme="1"/>
        <rFont val="Calibri"/>
        <family val="2"/>
        <scheme val="minor"/>
      </rPr>
      <t>(3)</t>
    </r>
  </si>
  <si>
    <r>
      <t xml:space="preserve">SCE Programs </t>
    </r>
    <r>
      <rPr>
        <b/>
        <vertAlign val="superscript"/>
        <sz val="11"/>
        <color theme="0"/>
        <rFont val="Calibri"/>
        <family val="2"/>
        <scheme val="minor"/>
      </rPr>
      <t>(6)</t>
    </r>
  </si>
  <si>
    <t>Year</t>
  </si>
  <si>
    <t>GWh</t>
  </si>
  <si>
    <t>MW</t>
  </si>
  <si>
    <r>
      <t xml:space="preserve">SCE Net C&amp;S </t>
    </r>
    <r>
      <rPr>
        <b/>
        <vertAlign val="superscript"/>
        <sz val="11"/>
        <color theme="0"/>
        <rFont val="Calibri"/>
        <family val="2"/>
        <scheme val="minor"/>
      </rPr>
      <t>(6)</t>
    </r>
  </si>
  <si>
    <r>
      <t xml:space="preserve">SCE Total Goal </t>
    </r>
    <r>
      <rPr>
        <b/>
        <vertAlign val="superscript"/>
        <sz val="11"/>
        <color theme="0"/>
        <rFont val="Calibri"/>
        <family val="2"/>
        <scheme val="minor"/>
      </rPr>
      <t>(6)</t>
    </r>
  </si>
  <si>
    <t>Forecasted Budget 
($ in millions)</t>
  </si>
  <si>
    <t>SCE Programs</t>
  </si>
  <si>
    <t>SCE Codes &amp; Standards</t>
  </si>
  <si>
    <r>
      <t xml:space="preserve">Estimated Need to Meet Goal </t>
    </r>
    <r>
      <rPr>
        <b/>
        <vertAlign val="superscript"/>
        <sz val="11"/>
        <color theme="1"/>
        <rFont val="Calibri"/>
        <family val="2"/>
        <scheme val="minor"/>
      </rPr>
      <t>(7)</t>
    </r>
  </si>
  <si>
    <r>
      <t xml:space="preserve">Remaining Budget to Meet C/E Threshold </t>
    </r>
    <r>
      <rPr>
        <b/>
        <vertAlign val="superscript"/>
        <sz val="11"/>
        <color theme="1"/>
        <rFont val="Calibri"/>
        <family val="2"/>
        <scheme val="minor"/>
      </rPr>
      <t>(8)</t>
    </r>
  </si>
  <si>
    <r>
      <t xml:space="preserve">Total Budget </t>
    </r>
    <r>
      <rPr>
        <b/>
        <vertAlign val="superscript"/>
        <sz val="11"/>
        <color theme="1"/>
        <rFont val="Calibri"/>
        <family val="2"/>
        <scheme val="minor"/>
      </rPr>
      <t>(9)</t>
    </r>
  </si>
  <si>
    <r>
      <t xml:space="preserve">Forecasted SCE Program Budget by Sector ($ in millions) </t>
    </r>
    <r>
      <rPr>
        <b/>
        <vertAlign val="superscript"/>
        <sz val="11"/>
        <color theme="0"/>
        <rFont val="Calibri"/>
        <family val="2"/>
        <scheme val="minor"/>
      </rPr>
      <t>(10)</t>
    </r>
  </si>
  <si>
    <t>Estimated Annual Budget</t>
  </si>
  <si>
    <t>Program Budget Total</t>
  </si>
  <si>
    <t>C&amp;S Budget Total</t>
  </si>
  <si>
    <t>SCE Total</t>
  </si>
  <si>
    <t>Assumptions</t>
  </si>
  <si>
    <t>1. C&amp;S Costs and Savings are excluded, assumes same budget to reach savings for next 10 years</t>
  </si>
  <si>
    <t>2. Non-Incentive Program budgets are included in sectors based on % of incentives</t>
  </si>
  <si>
    <t>3. % of kWh and % of kW used in calculation of portfolio weighted average $/kWh and $/kW.</t>
  </si>
  <si>
    <t>4. SoCalRen budget of $17.3M is included, but savings from SoCalREN are not included</t>
  </si>
  <si>
    <t>5. $/kWh assumes 2/3 of budget and $/kW assumes 1/3 of budget based on breakdown in CPUC ESPI coefficient calculation</t>
  </si>
  <si>
    <t>6. Goals based on D.15-10-028, Decision Regarding Energy Efficiency Goals for 2016 and Beyond.  May be off slightly in totals due to rounding.</t>
  </si>
  <si>
    <t xml:space="preserve">7. Calculation assumes that $/kWh and $/kW remains unchanged over time.  </t>
  </si>
  <si>
    <t>8. Historically the IOUs have forecasted to exceed CPUC goal in budget applications as a result of needing to meet the cost effectiveness threshold for the portfolio.</t>
  </si>
  <si>
    <t>9. Forecasted total budget to remain at $278M, however amount of buffer for C/E threshold decreases over the years.</t>
  </si>
  <si>
    <t>10. Annual budget uses 2017 % of incentive by sector to estimate budget per sector.</t>
  </si>
  <si>
    <t>Growth year-over-year of Goals (for scaling resource sector budgets to match changing goals)</t>
  </si>
  <si>
    <t>Upstream and QM are outsourced already</t>
  </si>
  <si>
    <t>Yes</t>
  </si>
  <si>
    <t>Admin of review parts can be run, but decisions need to be done by SCE</t>
  </si>
  <si>
    <t>?</t>
  </si>
  <si>
    <t>Allows us to put an increasingly large portion of portfolio budget into the 3P category, with overall simple administration (done by one person right now, like Primary Lighting).</t>
  </si>
  <si>
    <t>CEI is primarily driven by outside SMEs</t>
  </si>
  <si>
    <t>3P Notes</t>
  </si>
  <si>
    <t>% 3P Suggested Budget for CIA sector</t>
  </si>
  <si>
    <t>N/A</t>
  </si>
  <si>
    <t>2018 Commercial Offerings</t>
  </si>
  <si>
    <t>*[List programs]</t>
  </si>
  <si>
    <t>TP</t>
  </si>
  <si>
    <t>Non-TP</t>
  </si>
  <si>
    <t>Current Commercial Total TP*</t>
  </si>
  <si>
    <t>2018 Industrial Offerings</t>
  </si>
  <si>
    <t>2018 Agricultural Offerings</t>
  </si>
  <si>
    <t>2019-2020 Commercial Offerings</t>
  </si>
  <si>
    <t>New Program Design (2019-2020)</t>
  </si>
  <si>
    <t>[Insert %]</t>
  </si>
  <si>
    <t>Current Agricultural Total TP*</t>
  </si>
  <si>
    <t>Current Industrial Total TP*</t>
  </si>
  <si>
    <t>2019-2020 Industrial Offerings</t>
  </si>
  <si>
    <t>2019-2020 Agricultural Offerings</t>
  </si>
  <si>
    <t>3P Suggestion</t>
  </si>
  <si>
    <t>Total budget</t>
  </si>
  <si>
    <t>Res New Program Design (2019-2020, 10% of 2018 Res budget)</t>
  </si>
  <si>
    <t>CIA New Program Design (2019-2020, 10% of 2018 CIA budget)</t>
  </si>
  <si>
    <t>% of budget to TP</t>
  </si>
  <si>
    <t>Make edits to TP Suggested Programs here</t>
  </si>
  <si>
    <t>Make edits to % of subprogram budget to TP here</t>
  </si>
  <si>
    <t>Ask Mark Martinez</t>
  </si>
  <si>
    <t>TBD</t>
  </si>
  <si>
    <t>Disclaimer: Business-as-Usual</t>
  </si>
  <si>
    <t>5% per year, 2018, 2019 and 2020 (direct delivery to 3P delivery); 5% for reviews in Calculated</t>
  </si>
  <si>
    <t>3P Suggested Budget per Program 2020</t>
  </si>
  <si>
    <t>3P Suggested Budget per Program 2018</t>
  </si>
  <si>
    <t>2020 Total 3P Suggested budget</t>
  </si>
  <si>
    <t>2018 Total 3P Suggested budget</t>
  </si>
  <si>
    <t>2018 Sector Budget</t>
  </si>
  <si>
    <t>2020 Sector Budget</t>
  </si>
  <si>
    <t>% 3P 2018</t>
  </si>
  <si>
    <t>% 3P 2019 / 2020</t>
  </si>
  <si>
    <t>Resdential</t>
  </si>
  <si>
    <t>Agriculturual</t>
  </si>
  <si>
    <t>2019 Total 3P Suggested Budget</t>
  </si>
  <si>
    <t>2020 Total 3P Suggested Budget</t>
  </si>
  <si>
    <t>2018 Total 3P Suggested Budget</t>
  </si>
  <si>
    <t>3P Suggested Budget per Program 2019</t>
  </si>
  <si>
    <t>2019 Total 3P Suggested budget</t>
  </si>
  <si>
    <t>% DIFF 2017/2018</t>
  </si>
  <si>
    <t>Public Sector</t>
  </si>
  <si>
    <t>Total Portfolio Budget</t>
  </si>
  <si>
    <t>2018 3P Budget</t>
  </si>
  <si>
    <t>2019 3P Budget</t>
  </si>
  <si>
    <t>2020 3P Budget</t>
  </si>
  <si>
    <t>2017 Savings kWh</t>
  </si>
  <si>
    <t>2018 Savings kWh</t>
  </si>
  <si>
    <t>2019 Savings kWh</t>
  </si>
  <si>
    <t>2020 Savings kWh</t>
  </si>
  <si>
    <t>2024 Savings kWh</t>
  </si>
  <si>
    <t>2023 Savings kWh</t>
  </si>
  <si>
    <t>2022 Savings kWh</t>
  </si>
  <si>
    <t>2021 Savings kWh</t>
  </si>
  <si>
    <t>PY 2015</t>
  </si>
  <si>
    <t>Residential PLA</t>
  </si>
  <si>
    <t>Residential HVAC (up/mid)</t>
  </si>
  <si>
    <t>Residential New Construction</t>
  </si>
  <si>
    <t>Commercial HVAC (up/mid)</t>
  </si>
  <si>
    <t>Commercial Savings by Design</t>
  </si>
  <si>
    <t>Lighting (Primary)</t>
  </si>
  <si>
    <t>Lighting Innovation</t>
  </si>
  <si>
    <t>Lightig MT</t>
  </si>
  <si>
    <t>Finance (New Finance Offerings) *</t>
  </si>
  <si>
    <t>C&amp;S (Advocacy Only) 
[Building &amp; Appliance]</t>
  </si>
  <si>
    <t>Govt Part (UC/CSU)</t>
  </si>
  <si>
    <t xml:space="preserve">Govt Part (CCC) </t>
  </si>
  <si>
    <t xml:space="preserve">Govt Part (DGS &amp; CDCR) </t>
  </si>
  <si>
    <t>ME&amp;O **</t>
  </si>
  <si>
    <t xml:space="preserve">Total Stwd Programs </t>
  </si>
  <si>
    <t>Total Cost</t>
  </si>
  <si>
    <t>Admin</t>
  </si>
  <si>
    <t>M&amp;O</t>
  </si>
  <si>
    <t>Non-Incentive Implementation</t>
  </si>
  <si>
    <t xml:space="preserve">Incentive Implementation </t>
  </si>
  <si>
    <t xml:space="preserve">EM&amp;V </t>
  </si>
  <si>
    <t>PY 2016</t>
  </si>
  <si>
    <t>PY 2017</t>
  </si>
  <si>
    <t>2015-2017 Total</t>
  </si>
  <si>
    <t>*  New Finance Pilot Program funding was authorized in 2013-2014 cycle.</t>
  </si>
  <si>
    <t>** SW ME&amp;O represents only the Energy Efficiency portion of the authorized budget.</t>
  </si>
  <si>
    <t>KWh</t>
  </si>
  <si>
    <t>KW</t>
  </si>
  <si>
    <t>Therm</t>
  </si>
  <si>
    <t>CS - Total Codes &amp; Standards KWh and KW</t>
  </si>
  <si>
    <t>PA Name: Southern California Edison</t>
  </si>
  <si>
    <t>Budget Year: 2017</t>
  </si>
  <si>
    <t>Appendix B.1 – Budget by Budget Category</t>
  </si>
  <si>
    <t>Total Administrative Cost</t>
  </si>
  <si>
    <t>Total Marketing &amp; Outreach</t>
  </si>
  <si>
    <t>Total Direct Implementation (NonIncentives or Rebates)</t>
  </si>
  <si>
    <t xml:space="preserve">Direct Implementation (Incentives &amp; Rebates) </t>
  </si>
  <si>
    <t>Total Direct Implementation</t>
  </si>
  <si>
    <t>New/Existing Program #</t>
  </si>
  <si>
    <t>Main Program Name / Sub-Program Name</t>
  </si>
  <si>
    <t>2015 Authorized Budget</t>
  </si>
  <si>
    <t>2015 Budget Spent [3]</t>
  </si>
  <si>
    <t>2016 Authorized Budget [4]</t>
  </si>
  <si>
    <t>2017 Proposed Budget</t>
  </si>
  <si>
    <t>2015 Budget (after all fundshifting) [1]</t>
  </si>
  <si>
    <t>Program Type</t>
  </si>
  <si>
    <t>Market Sector</t>
  </si>
  <si>
    <t>Resource or Non-resource</t>
  </si>
  <si>
    <t>Program Status</t>
  </si>
  <si>
    <t>Utility Grouping</t>
  </si>
  <si>
    <t>SCE-13-SW-001</t>
  </si>
  <si>
    <t>California Statewide Program for Residential Energy Efficiency</t>
  </si>
  <si>
    <t>Core - SW/3P</t>
  </si>
  <si>
    <t>Residential Programs</t>
  </si>
  <si>
    <t>SCE-13-SW-001A</t>
  </si>
  <si>
    <t>Resource</t>
  </si>
  <si>
    <t>Existing</t>
  </si>
  <si>
    <t>Energy Advisor</t>
  </si>
  <si>
    <t>SCE-13-SW-001B</t>
  </si>
  <si>
    <t>Revised</t>
  </si>
  <si>
    <t>PLA</t>
  </si>
  <si>
    <t>SCE-13-SW-001C</t>
  </si>
  <si>
    <t>Core - SW</t>
  </si>
  <si>
    <t>MFEER</t>
  </si>
  <si>
    <t>SCE-13-SW-001D</t>
  </si>
  <si>
    <t>Whole House</t>
  </si>
  <si>
    <t>SCE-13-SW-001E</t>
  </si>
  <si>
    <t>Discontinued</t>
  </si>
  <si>
    <t>HVAC</t>
  </si>
  <si>
    <t>SCE-13-SW-001F</t>
  </si>
  <si>
    <t>Non-Resource</t>
  </si>
  <si>
    <t>New Construction</t>
  </si>
  <si>
    <t>SCE-13-SW-001G</t>
  </si>
  <si>
    <t>New</t>
  </si>
  <si>
    <t>Direct Install</t>
  </si>
  <si>
    <t>SCE-13-SW-002</t>
  </si>
  <si>
    <t>Statewide Commercial Energy Efficiency Program</t>
  </si>
  <si>
    <t>Commercial Programs</t>
  </si>
  <si>
    <t>SCE-13-SW-002A</t>
  </si>
  <si>
    <t>SCE-13-SW-002B</t>
  </si>
  <si>
    <t>Commercial Calculated Program</t>
  </si>
  <si>
    <t>Calculated Incentives</t>
  </si>
  <si>
    <t>SCE-13-SW-002C</t>
  </si>
  <si>
    <t>Deemed Incentives</t>
  </si>
  <si>
    <t>SCE-13-SW-002D</t>
  </si>
  <si>
    <t>SCE-13-SW-002E</t>
  </si>
  <si>
    <t>Commercial Continuous Energy Improvement Program</t>
  </si>
  <si>
    <t>CEI</t>
  </si>
  <si>
    <t>SCE-13-SW-002F</t>
  </si>
  <si>
    <t>SCE-13-SW-002G</t>
  </si>
  <si>
    <t>Savings By Design</t>
  </si>
  <si>
    <t>SCE-13-SW-002H</t>
  </si>
  <si>
    <t>Lighting Programs</t>
  </si>
  <si>
    <t>SCE-13-SW-003</t>
  </si>
  <si>
    <t>Statewide Industrial Energy Efficiency Program</t>
  </si>
  <si>
    <t>Industrial Programs</t>
  </si>
  <si>
    <t>SCE-13-SW-003A</t>
  </si>
  <si>
    <t>SCE-13-SW-003B</t>
  </si>
  <si>
    <t>SCE-13-SW-003C</t>
  </si>
  <si>
    <t>SCE-13-SW-003D</t>
  </si>
  <si>
    <t>SCE-13-SW-004</t>
  </si>
  <si>
    <t>Statewide Agriculture Energy Efficiency Program</t>
  </si>
  <si>
    <t>Agricultural Programs</t>
  </si>
  <si>
    <t>SCE-13-SW-004A</t>
  </si>
  <si>
    <t>SCE-13-SW-004B</t>
  </si>
  <si>
    <t>SCE-13-SW-004C</t>
  </si>
  <si>
    <t>SCE-13-SW-004D</t>
  </si>
  <si>
    <t>SCE-13-SW-005</t>
  </si>
  <si>
    <t>Lighting Program</t>
  </si>
  <si>
    <t>Core -SW/3P</t>
  </si>
  <si>
    <t>Cross Cutting</t>
  </si>
  <si>
    <t>SCE-13-SW-005A</t>
  </si>
  <si>
    <t>SCE-13-SW-005B</t>
  </si>
  <si>
    <t>Lighting Innovation Program</t>
  </si>
  <si>
    <t>SCE-13-SW-005C</t>
  </si>
  <si>
    <t>SCE-13-SW-006</t>
  </si>
  <si>
    <t>DSM Integration Programs</t>
  </si>
  <si>
    <t>SCE-13-SW-007</t>
  </si>
  <si>
    <t>Statewide Finance Program</t>
  </si>
  <si>
    <t>Financing Programs</t>
  </si>
  <si>
    <t>SCE-13-SW-007A</t>
  </si>
  <si>
    <t>SCE-13-SW-007B</t>
  </si>
  <si>
    <t>SCE-13-SW-007C</t>
  </si>
  <si>
    <t>New Finance Offerings</t>
  </si>
  <si>
    <t>Extended from 2013-2015</t>
  </si>
  <si>
    <t>Codes and Standards Program</t>
  </si>
  <si>
    <t>SCE-13-SW-008A</t>
  </si>
  <si>
    <t>Building Codes and Compliance Advocacy</t>
  </si>
  <si>
    <t>SCE-13-SW-008B</t>
  </si>
  <si>
    <t>Appliance Standards Advocacy</t>
  </si>
  <si>
    <t>SCE-13-SW-008C</t>
  </si>
  <si>
    <t>Compliance Improvement</t>
  </si>
  <si>
    <t>SCE-13-SW-008D</t>
  </si>
  <si>
    <t>Reach Codes</t>
  </si>
  <si>
    <t>SCE-13-SW-008E</t>
  </si>
  <si>
    <t>Planning and Coordination</t>
  </si>
  <si>
    <t>SCE-13-SW-009</t>
  </si>
  <si>
    <t>Emerging Technology Programs</t>
  </si>
  <si>
    <t>SCE-13-SW-009A</t>
  </si>
  <si>
    <t>Technology Development Support</t>
  </si>
  <si>
    <t>SCE-13-SW-009B</t>
  </si>
  <si>
    <t>Technology Assessments</t>
  </si>
  <si>
    <t>SCE-13-SW-009C</t>
  </si>
  <si>
    <t>Technology Introduction Support</t>
  </si>
  <si>
    <t>SCE-13-SW-010</t>
  </si>
  <si>
    <t>Workforce Education &amp; Training</t>
  </si>
  <si>
    <t>WE&amp;T Programs</t>
  </si>
  <si>
    <t>SCE-13-SW-010A</t>
  </si>
  <si>
    <t>SCE-13-SW-010B</t>
  </si>
  <si>
    <t>Core- SW/3P</t>
  </si>
  <si>
    <t>SCE-13-SW-010C</t>
  </si>
  <si>
    <t>SCE-13-L-001</t>
  </si>
  <si>
    <t>3P</t>
  </si>
  <si>
    <t>Industrial 3P Programs</t>
  </si>
  <si>
    <t>SCE-13-L-002</t>
  </si>
  <si>
    <t>Energy Leader Partnership Program</t>
  </si>
  <si>
    <t>Govt Partnerships</t>
  </si>
  <si>
    <t>Government Partnerships</t>
  </si>
  <si>
    <t>SCE-13-L-002B</t>
  </si>
  <si>
    <t>SCE-13-L-002C</t>
  </si>
  <si>
    <t>SCE-13-L-002D</t>
  </si>
  <si>
    <t>SCE-13-L-002F</t>
  </si>
  <si>
    <t>SCE-13-L-002G</t>
  </si>
  <si>
    <t>SCE-13-L-002H</t>
  </si>
  <si>
    <t>SCE-13-L-002I</t>
  </si>
  <si>
    <t>Energy Leader Partnership Strategic Support</t>
  </si>
  <si>
    <t>SCE-13-L-002J</t>
  </si>
  <si>
    <t>SCE-13-L-002K</t>
  </si>
  <si>
    <t>SCE-13-L-002L</t>
  </si>
  <si>
    <t>SCE-13-L-002M</t>
  </si>
  <si>
    <t>SCE-13-L-002N</t>
  </si>
  <si>
    <t>SCE-13-L-002O</t>
  </si>
  <si>
    <t>SCE-13-L-002P</t>
  </si>
  <si>
    <t>SCE-13-L-002Q</t>
  </si>
  <si>
    <t>SCE-13-L-002R</t>
  </si>
  <si>
    <t>SCE-13-L-002S</t>
  </si>
  <si>
    <t>SCE-13-L-002T</t>
  </si>
  <si>
    <t>SCE-13-L-002U</t>
  </si>
  <si>
    <t>SCE-13-L-003C</t>
  </si>
  <si>
    <t>SCE-13-L-003D</t>
  </si>
  <si>
    <t>SCE-13-L-003E</t>
  </si>
  <si>
    <t>SCE-13-L-003</t>
  </si>
  <si>
    <t>Institutional and Government Core Energy Efficiency Partnership</t>
  </si>
  <si>
    <t>SCE-13-L-003A</t>
  </si>
  <si>
    <t>SCE-13-L-003B</t>
  </si>
  <si>
    <t>SCE-13-L-003F</t>
  </si>
  <si>
    <t>SCE-13-L-003G</t>
  </si>
  <si>
    <t xml:space="preserve">UC/CSU Energy Efficiency Partnership </t>
  </si>
  <si>
    <t>SCE-13-L-003H</t>
  </si>
  <si>
    <t>Federals Energy Efficiency Partnership</t>
  </si>
  <si>
    <t>Residential Third Party Programs</t>
  </si>
  <si>
    <t>SCE-13-TP-001</t>
  </si>
  <si>
    <t>Residential 3P Programs</t>
  </si>
  <si>
    <t>Commercial Third Party Programs</t>
  </si>
  <si>
    <t>SCE-13-TP-002</t>
  </si>
  <si>
    <t>Commercial 3P Programs</t>
  </si>
  <si>
    <t>SCE-13-TP-003</t>
  </si>
  <si>
    <t>SCE-13-TP-004</t>
  </si>
  <si>
    <t>SCE-13-TP-005</t>
  </si>
  <si>
    <t>SCE-13-TP-013</t>
  </si>
  <si>
    <t>SCE-13-TP-014</t>
  </si>
  <si>
    <t>SCE-13-TP-017</t>
  </si>
  <si>
    <t>Energy Efficiency for Entertainment Centers</t>
  </si>
  <si>
    <t>SCE-13-TP-018</t>
  </si>
  <si>
    <t>SCE-13-TP-021</t>
  </si>
  <si>
    <t>Industrial Third Party Programs</t>
  </si>
  <si>
    <t>SCE-13-TP-006</t>
  </si>
  <si>
    <t>SCE-13-TP-007</t>
  </si>
  <si>
    <t>SCE-13-TP-008</t>
  </si>
  <si>
    <t>SCE-13-TP-009</t>
  </si>
  <si>
    <t>SCE-13-TP-010</t>
  </si>
  <si>
    <t>SCE-13-TP-011</t>
  </si>
  <si>
    <t>SCE-13-TP-012</t>
  </si>
  <si>
    <t>Refinery Energy Efficiency Program</t>
  </si>
  <si>
    <t>SCE-13-TP-023</t>
  </si>
  <si>
    <t>Midsize Industrial Customer Program (MICE)</t>
  </si>
  <si>
    <t>Cross Cutting Third Party Programs</t>
  </si>
  <si>
    <t>SCE-13-TP-019</t>
  </si>
  <si>
    <t>SCE-13-TP-020</t>
  </si>
  <si>
    <t>Commercial/Industrial/Agricultural 3P Programs</t>
  </si>
  <si>
    <t>SCE-13-TP-022</t>
  </si>
  <si>
    <t>Water Infrastructure Systems EE Program (WISE)</t>
  </si>
  <si>
    <t>Total SCE Program Total</t>
  </si>
  <si>
    <t>EM&amp;V (PA &amp; CPUC Portions) Total [5]</t>
  </si>
  <si>
    <t>SCE-3OV0200</t>
  </si>
  <si>
    <t>EM&amp;V - CPUC</t>
  </si>
  <si>
    <t>SCE-3OV0100</t>
  </si>
  <si>
    <t>EM&amp;V - SCE</t>
  </si>
  <si>
    <t>SCE Total with EM&amp;V</t>
  </si>
  <si>
    <t>SCE-13-REN</t>
  </si>
  <si>
    <t>REN/CCA</t>
  </si>
  <si>
    <t>Total SCE 2017 EE Portfolio</t>
  </si>
  <si>
    <t>Other Related EE Budget</t>
  </si>
  <si>
    <t>Statewide Marketing, Education and Outreach Program</t>
  </si>
  <si>
    <t>[1] Program revise budget after the executed fund shifts in 2015 against the 2015 authorized budget</t>
  </si>
  <si>
    <t>[2] Authorized budget excludes reductions from past unspent funds and carryover.  Authorized budget is consistent with funding approved in D.15-01-002</t>
  </si>
  <si>
    <t>[3] Spent included funds expensed, accruals and carryover spent from 2013-2014 for program activities occurring from 1/1/2015 to 12/31/2015</t>
  </si>
  <si>
    <t>[4] Assumed the same authorized budget level as 2015</t>
  </si>
  <si>
    <t>[5] 4% of EE Portfolio budget and applied a 60/40 split for 2017 CPUC-EM&amp;V and SCE-EM&amp;V budget</t>
  </si>
  <si>
    <t xml:space="preserve">Ratio of Net Energy Savings to Gross Energy Savings </t>
  </si>
  <si>
    <t xml:space="preserve">Average Energy Savings EUL (savings weighted) </t>
  </si>
  <si>
    <t>Appendix B.2- Savings and Cost Effectiveness Table</t>
  </si>
  <si>
    <t>Gross kWh Energy Savings</t>
  </si>
  <si>
    <t xml:space="preserve">Gross kW Energy Savings </t>
  </si>
  <si>
    <t xml:space="preserve">Gross Therm Energy Savings </t>
  </si>
  <si>
    <t xml:space="preserve">TRC </t>
  </si>
  <si>
    <r>
      <t xml:space="preserve">net/gross kWh Energy Savings </t>
    </r>
    <r>
      <rPr>
        <b/>
        <vertAlign val="superscript"/>
        <sz val="10"/>
        <rFont val="Arial"/>
        <family val="2"/>
      </rPr>
      <t>(1)</t>
    </r>
  </si>
  <si>
    <r>
      <t xml:space="preserve">net/gross kW Energy Savings </t>
    </r>
    <r>
      <rPr>
        <b/>
        <vertAlign val="superscript"/>
        <sz val="10"/>
        <rFont val="Arial"/>
        <family val="2"/>
      </rPr>
      <t>(1)</t>
    </r>
  </si>
  <si>
    <t>net/gross Therm Energy Savings</t>
  </si>
  <si>
    <t>EUL kWH</t>
  </si>
  <si>
    <t>EUL Therm</t>
  </si>
  <si>
    <t>Program Information</t>
  </si>
  <si>
    <t>2015 Forecast
(Compliance Filing)</t>
  </si>
  <si>
    <t>2015 Claimed
(Preliminary)</t>
  </si>
  <si>
    <t>2016 Forecast</t>
  </si>
  <si>
    <t>2017 Forecast</t>
  </si>
  <si>
    <t>2017 % of Total Gross Program Savings</t>
  </si>
  <si>
    <t>2015 Claimed (preliminary)</t>
  </si>
  <si>
    <t>2015 Claimed (Preliminary)</t>
  </si>
  <si>
    <t>Codes and Standars</t>
  </si>
  <si>
    <t>LIEE</t>
  </si>
  <si>
    <t>Energy Savings Assistance</t>
  </si>
  <si>
    <t>EM&amp;V (PA &amp; CPUC Portions) Total</t>
  </si>
  <si>
    <t>Total SCE Portfolio</t>
  </si>
  <si>
    <t>(1) Codes and Standards uses net savings for reported and forecast savings and are excluded from NTG calculations.</t>
  </si>
  <si>
    <t>Agriculture</t>
  </si>
  <si>
    <t>SCE-13-TP-000</t>
  </si>
  <si>
    <t>Finance</t>
  </si>
  <si>
    <t>Total Portfolio</t>
  </si>
  <si>
    <t>PY 2015 Actual Spent</t>
  </si>
  <si>
    <t>2016 Operating Budget</t>
  </si>
  <si>
    <t>PY 2016 Operating Budget</t>
  </si>
  <si>
    <t>PY 2017 Proposed</t>
  </si>
  <si>
    <t>Total Portfolio with EMV(CPUC,SCE), SoCalREN</t>
  </si>
  <si>
    <t>EM&amp;V- SCE</t>
  </si>
  <si>
    <t>EM&amp;V-CPUC</t>
  </si>
  <si>
    <t>2017 kWh</t>
  </si>
  <si>
    <t>Energy Efficiency Portfolio Budget Forecast 2015-2025</t>
  </si>
  <si>
    <t>Energy Efficiency Portfolio Savings Forecast 2015-2025</t>
  </si>
  <si>
    <t>Total Savings Portfolio</t>
  </si>
  <si>
    <t>PY 2015 Claimed</t>
  </si>
  <si>
    <t>PY 2016 Projected</t>
  </si>
  <si>
    <t>PY 2017 Projected</t>
  </si>
  <si>
    <t xml:space="preserve">  </t>
  </si>
  <si>
    <t>PY 2019 Forecasted &lt;3%</t>
  </si>
  <si>
    <t>PY 2020 Forecasted &lt;2%</t>
  </si>
  <si>
    <t>PY 2021 Forecasted &gt;2%</t>
  </si>
  <si>
    <t>PY 2022 Forecasted &gt;3%</t>
  </si>
  <si>
    <t>PY 2023 Forecasted &lt;3%</t>
  </si>
  <si>
    <t>PY 2024 Forecasted &lt;3%</t>
  </si>
  <si>
    <t>PY 2025 Forecasted &lt;3%</t>
  </si>
  <si>
    <t>SCE Total Goal</t>
  </si>
  <si>
    <t>PY 2021 Forecast</t>
  </si>
  <si>
    <t>PY 2022 Forecast</t>
  </si>
  <si>
    <t>PY 2023 Forecast</t>
  </si>
  <si>
    <t>PY 2024 Forecast</t>
  </si>
  <si>
    <t>PY 2025 Forecast</t>
  </si>
  <si>
    <t>900,000/ proposed downstream program</t>
  </si>
  <si>
    <t xml:space="preserve">%40 drop in budget due to decrease in goal between 2017 and 2018 </t>
  </si>
  <si>
    <t>M&amp;O adjusted becouse of increase in expected cost due to 3P lunch of programs</t>
  </si>
  <si>
    <t>no</t>
  </si>
  <si>
    <t>ESA</t>
  </si>
  <si>
    <t>TRC</t>
  </si>
  <si>
    <t>Optimization</t>
  </si>
  <si>
    <t>Moved $600k incentives from EUC to Res DI (very low TRC to moderate TRC)</t>
  </si>
  <si>
    <t>Increased Comm Deemed measures Qty by 20% due to highest Comm sector TRC program</t>
  </si>
  <si>
    <t>Decreased Nonres HVAC by 20% due to lowest Comm sector TRC program of significant size</t>
  </si>
  <si>
    <t>Increased SBD by 10% due to high Comm sector TRC</t>
  </si>
  <si>
    <t>ADD 3P BUDGET $8,865,457.50 in Residential Total Cost</t>
  </si>
  <si>
    <t>PY 2018 Optimized</t>
  </si>
  <si>
    <t>PY 2019 Optimized</t>
  </si>
  <si>
    <t>PY 2020 Optimized</t>
  </si>
  <si>
    <t>No change from 2018 C&amp;S Input sheet as there is no way to scale the C&amp;S program to meet the 2019 kW and kWh, individual measures have to be changed and we don't have that information from C&amp;S</t>
  </si>
  <si>
    <t xml:space="preserve">C&amp;S kW savings here do not match up with C&amp;S in the CET. Scaled 2017 C&amp;S Input sheet to line up with projected 2018 C&amp;S kWh (Note: kW doesn't match because of this, can't get them to match).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</si>
</sst>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* #,##0.00_);_(* \(#,##0.00\);_(* &quot;-&quot;_);_(@_)"/>
    <numFmt numFmtId="167" formatCode="_(* #,##0.0000_);_(* \(#,##0.0000\);_(* &quot;-&quot;??_);_(@_)"/>
    <numFmt numFmtId="168" formatCode="&quot;$&quot;#,##0"/>
    <numFmt numFmtId="169" formatCode="0.000000000%"/>
    <numFmt numFmtId="170" formatCode="0_);\(0\)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sz val="18"/>
      <color theme="1"/>
      <name val="Arial"/>
      <family val="2"/>
    </font>
    <font>
      <sz val="18"/>
      <name val="Arial"/>
      <family val="2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0"/>
      <color theme="1"/>
      <name val="Arial"/>
      <family val="2"/>
    </font>
    <font>
      <b/>
      <sz val="18"/>
      <color indexed="9"/>
      <name val="Arial"/>
      <family val="2"/>
    </font>
    <font>
      <b/>
      <sz val="18"/>
      <color rgb="FFFFFFFF"/>
      <name val="Arial"/>
      <family val="2"/>
    </font>
    <font>
      <b/>
      <sz val="18"/>
      <color theme="1"/>
      <name val="Arial"/>
      <family val="2"/>
    </font>
    <font>
      <b/>
      <vertAlign val="superscript"/>
      <sz val="18"/>
      <name val="Arial"/>
      <family val="2"/>
    </font>
    <font>
      <b/>
      <sz val="18"/>
      <color indexed="8"/>
      <name val="Arial"/>
      <family val="2"/>
    </font>
    <font>
      <b/>
      <vertAlign val="superscript"/>
      <sz val="18"/>
      <color indexed="8"/>
      <name val="Arial"/>
      <family val="2"/>
    </font>
    <font>
      <b/>
      <vertAlign val="superscript"/>
      <sz val="18"/>
      <color theme="0"/>
      <name val="Arial"/>
      <family val="2"/>
    </font>
    <font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0"/>
      <name val="MS Sans Serif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indexed="9"/>
      <name val="Arial"/>
      <family val="2"/>
    </font>
    <font>
      <b/>
      <sz val="9"/>
      <color rgb="FFFFFFFF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i/>
      <u/>
      <sz val="10"/>
      <name val="Arial"/>
      <family val="2"/>
    </font>
    <font>
      <b/>
      <u/>
      <sz val="10"/>
      <name val="Arial"/>
      <family val="2"/>
    </font>
    <font>
      <b/>
      <sz val="10"/>
      <name val="Times New Roman"/>
      <family val="1"/>
    </font>
    <font>
      <strike/>
      <sz val="10"/>
      <name val="Times New Roman"/>
      <family val="1"/>
    </font>
    <font>
      <b/>
      <vertAlign val="superscript"/>
      <sz val="10"/>
      <name val="Arial"/>
      <family val="2"/>
    </font>
    <font>
      <sz val="10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4"/>
      <color theme="1"/>
      <name val="Calibri"/>
      <family val="2"/>
      <scheme val="minor"/>
    </font>
    <font>
      <sz val="10"/>
      <color rgb="FFFF0000"/>
      <name val="Times New Roman"/>
      <family val="1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FF000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-0.249977111117893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249977111117893"/>
        <bgColor rgb="FF00000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rgb="FF000000"/>
      </patternFill>
    </fill>
    <fill>
      <patternFill patternType="solid">
        <fgColor rgb="FFB8CCE4"/>
        <bgColor rgb="FF000000"/>
      </patternFill>
    </fill>
    <fill>
      <patternFill patternType="solid">
        <fgColor indexed="4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7030A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rgb="FF000000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7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44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4" fillId="0" borderId="0"/>
    <xf numFmtId="4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0" fontId="40" fillId="0" borderId="0"/>
    <xf numFmtId="44" fontId="41" fillId="0" borderId="0" applyFont="0" applyFill="0" applyBorder="0" applyAlignment="0" applyProtection="0"/>
    <xf numFmtId="0" fontId="41" fillId="0" borderId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40" fillId="0" borderId="0"/>
    <xf numFmtId="9" fontId="34" fillId="0" borderId="0" applyFont="0" applyFill="0" applyBorder="0" applyAlignment="0" applyProtection="0"/>
    <xf numFmtId="0" fontId="50" fillId="0" borderId="0"/>
  </cellStyleXfs>
  <cellXfs count="916">
    <xf numFmtId="0" fontId="0" fillId="0" borderId="0" xfId="0"/>
    <xf numFmtId="0" fontId="2" fillId="5" borderId="6" xfId="2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/>
    </xf>
    <xf numFmtId="0" fontId="5" fillId="6" borderId="1" xfId="0" applyFont="1" applyFill="1" applyBorder="1" applyAlignment="1">
      <alignment horizontal="left" vertical="center"/>
    </xf>
    <xf numFmtId="41" fontId="5" fillId="6" borderId="4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vertical="center"/>
    </xf>
    <xf numFmtId="41" fontId="4" fillId="0" borderId="1" xfId="2" applyNumberFormat="1" applyFont="1" applyFill="1" applyBorder="1" applyAlignment="1">
      <alignment horizontal="right" vertical="center"/>
    </xf>
    <xf numFmtId="0" fontId="4" fillId="2" borderId="1" xfId="3" applyFont="1" applyFill="1" applyBorder="1" applyAlignment="1">
      <alignment vertical="center"/>
    </xf>
    <xf numFmtId="0" fontId="3" fillId="2" borderId="1" xfId="3" applyFont="1" applyFill="1" applyBorder="1" applyAlignment="1">
      <alignment vertical="center"/>
    </xf>
    <xf numFmtId="164" fontId="5" fillId="7" borderId="1" xfId="1" applyNumberFormat="1" applyFont="1" applyFill="1" applyBorder="1" applyAlignment="1">
      <alignment horizontal="right" vertical="center"/>
    </xf>
    <xf numFmtId="41" fontId="4" fillId="2" borderId="7" xfId="2" applyNumberFormat="1" applyFont="1" applyFill="1" applyBorder="1" applyAlignment="1">
      <alignment horizontal="right" vertical="center"/>
    </xf>
    <xf numFmtId="0" fontId="5" fillId="8" borderId="1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vertical="center"/>
    </xf>
    <xf numFmtId="41" fontId="4" fillId="2" borderId="7" xfId="1" applyNumberFormat="1" applyFont="1" applyFill="1" applyBorder="1" applyAlignment="1">
      <alignment horizontal="right" vertical="center"/>
    </xf>
    <xf numFmtId="0" fontId="2" fillId="10" borderId="1" xfId="0" applyFont="1" applyFill="1" applyBorder="1" applyAlignment="1">
      <alignment horizontal="left" vertical="center"/>
    </xf>
    <xf numFmtId="164" fontId="2" fillId="11" borderId="1" xfId="1" applyNumberFormat="1" applyFont="1" applyFill="1" applyBorder="1" applyAlignment="1">
      <alignment horizontal="right" vertical="center"/>
    </xf>
    <xf numFmtId="0" fontId="2" fillId="12" borderId="1" xfId="0" applyFont="1" applyFill="1" applyBorder="1" applyAlignment="1">
      <alignment horizontal="left" vertical="center"/>
    </xf>
    <xf numFmtId="164" fontId="2" fillId="13" borderId="1" xfId="2" applyNumberFormat="1" applyFont="1" applyFill="1" applyBorder="1" applyAlignment="1">
      <alignment horizontal="right" vertical="center"/>
    </xf>
    <xf numFmtId="0" fontId="4" fillId="0" borderId="7" xfId="0" applyFont="1" applyBorder="1" applyAlignment="1">
      <alignment vertical="center"/>
    </xf>
    <xf numFmtId="41" fontId="4" fillId="0" borderId="7" xfId="1" applyNumberFormat="1" applyFont="1" applyFill="1" applyBorder="1" applyAlignment="1">
      <alignment horizontal="right" vertical="center"/>
    </xf>
    <xf numFmtId="164" fontId="5" fillId="9" borderId="1" xfId="2" applyNumberFormat="1" applyFont="1" applyFill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0" fontId="5" fillId="14" borderId="1" xfId="0" applyFont="1" applyFill="1" applyBorder="1" applyAlignment="1">
      <alignment horizontal="left" vertical="center"/>
    </xf>
    <xf numFmtId="0" fontId="8" fillId="14" borderId="1" xfId="0" applyFont="1" applyFill="1" applyBorder="1" applyAlignment="1">
      <alignment vertical="center"/>
    </xf>
    <xf numFmtId="164" fontId="9" fillId="15" borderId="1" xfId="1" applyNumberFormat="1" applyFont="1" applyFill="1" applyBorder="1" applyAlignment="1">
      <alignment horizontal="right" vertical="center"/>
    </xf>
    <xf numFmtId="41" fontId="2" fillId="2" borderId="7" xfId="1" applyNumberFormat="1" applyFont="1" applyFill="1" applyBorder="1" applyAlignment="1">
      <alignment horizontal="right" vertical="center"/>
    </xf>
    <xf numFmtId="0" fontId="2" fillId="16" borderId="1" xfId="0" applyFont="1" applyFill="1" applyBorder="1" applyAlignment="1">
      <alignment horizontal="left" vertical="center"/>
    </xf>
    <xf numFmtId="164" fontId="2" fillId="17" borderId="1" xfId="2" applyNumberFormat="1" applyFont="1" applyFill="1" applyBorder="1" applyAlignment="1">
      <alignment horizontal="right" vertical="center"/>
    </xf>
    <xf numFmtId="164" fontId="2" fillId="18" borderId="1" xfId="2" applyNumberFormat="1" applyFont="1" applyFill="1" applyBorder="1" applyAlignment="1">
      <alignment horizontal="right" vertical="center"/>
    </xf>
    <xf numFmtId="41" fontId="2" fillId="2" borderId="7" xfId="2" applyNumberFormat="1" applyFont="1" applyFill="1" applyBorder="1" applyAlignment="1">
      <alignment horizontal="right" vertical="center"/>
    </xf>
    <xf numFmtId="0" fontId="12" fillId="19" borderId="1" xfId="0" applyFont="1" applyFill="1" applyBorder="1" applyAlignment="1">
      <alignment vertical="center"/>
    </xf>
    <xf numFmtId="164" fontId="2" fillId="5" borderId="1" xfId="2" applyNumberFormat="1" applyFont="1" applyFill="1" applyBorder="1" applyAlignment="1">
      <alignment horizontal="right" vertical="center"/>
    </xf>
    <xf numFmtId="41" fontId="10" fillId="2" borderId="7" xfId="2" applyNumberFormat="1" applyFont="1" applyFill="1" applyBorder="1" applyAlignment="1">
      <alignment horizontal="right" vertical="center" wrapText="1"/>
    </xf>
    <xf numFmtId="0" fontId="3" fillId="2" borderId="0" xfId="0" applyFont="1" applyFill="1" applyBorder="1" applyAlignment="1"/>
    <xf numFmtId="164" fontId="5" fillId="6" borderId="1" xfId="2" applyNumberFormat="1" applyFont="1" applyFill="1" applyBorder="1" applyAlignment="1">
      <alignment horizontal="left" vertical="center"/>
    </xf>
    <xf numFmtId="41" fontId="5" fillId="6" borderId="1" xfId="2" applyNumberFormat="1" applyFont="1" applyFill="1" applyBorder="1" applyAlignment="1">
      <alignment horizontal="left" vertical="center"/>
    </xf>
    <xf numFmtId="41" fontId="3" fillId="2" borderId="0" xfId="0" applyNumberFormat="1" applyFont="1" applyFill="1" applyBorder="1" applyAlignment="1"/>
    <xf numFmtId="164" fontId="5" fillId="8" borderId="1" xfId="2" applyNumberFormat="1" applyFont="1" applyFill="1" applyBorder="1" applyAlignment="1">
      <alignment horizontal="left" vertical="center"/>
    </xf>
    <xf numFmtId="41" fontId="5" fillId="8" borderId="1" xfId="2" applyNumberFormat="1" applyFont="1" applyFill="1" applyBorder="1" applyAlignment="1">
      <alignment horizontal="left" vertical="center"/>
    </xf>
    <xf numFmtId="164" fontId="8" fillId="14" borderId="1" xfId="2" applyNumberFormat="1" applyFont="1" applyFill="1" applyBorder="1" applyAlignment="1">
      <alignment vertical="center"/>
    </xf>
    <xf numFmtId="41" fontId="8" fillId="14" borderId="1" xfId="2" applyNumberFormat="1" applyFont="1" applyFill="1" applyBorder="1" applyAlignment="1">
      <alignment vertical="center"/>
    </xf>
    <xf numFmtId="0" fontId="8" fillId="20" borderId="1" xfId="0" applyFont="1" applyFill="1" applyBorder="1" applyAlignment="1">
      <alignment vertical="center"/>
    </xf>
    <xf numFmtId="164" fontId="8" fillId="20" borderId="1" xfId="2" applyNumberFormat="1" applyFont="1" applyFill="1" applyBorder="1" applyAlignment="1">
      <alignment vertical="center"/>
    </xf>
    <xf numFmtId="41" fontId="8" fillId="20" borderId="1" xfId="2" applyNumberFormat="1" applyFont="1" applyFill="1" applyBorder="1" applyAlignment="1">
      <alignment vertical="center"/>
    </xf>
    <xf numFmtId="0" fontId="5" fillId="21" borderId="1" xfId="0" applyFont="1" applyFill="1" applyBorder="1" applyAlignment="1">
      <alignment vertical="center"/>
    </xf>
    <xf numFmtId="164" fontId="5" fillId="21" borderId="1" xfId="0" applyNumberFormat="1" applyFont="1" applyFill="1" applyBorder="1" applyAlignment="1">
      <alignment vertical="center"/>
    </xf>
    <xf numFmtId="0" fontId="15" fillId="2" borderId="0" xfId="0" applyFont="1" applyFill="1"/>
    <xf numFmtId="165" fontId="4" fillId="0" borderId="6" xfId="1" applyNumberFormat="1" applyFont="1" applyFill="1" applyBorder="1" applyAlignment="1">
      <alignment horizontal="right" vertical="center" wrapText="1"/>
    </xf>
    <xf numFmtId="165" fontId="5" fillId="7" borderId="1" xfId="1" applyNumberFormat="1" applyFont="1" applyFill="1" applyBorder="1" applyAlignment="1">
      <alignment horizontal="right" vertical="center" wrapText="1"/>
    </xf>
    <xf numFmtId="41" fontId="4" fillId="2" borderId="7" xfId="1" applyNumberFormat="1" applyFont="1" applyFill="1" applyBorder="1" applyAlignment="1">
      <alignment horizontal="right" vertical="center" wrapText="1"/>
    </xf>
    <xf numFmtId="41" fontId="2" fillId="11" borderId="1" xfId="1" applyNumberFormat="1" applyFont="1" applyFill="1" applyBorder="1" applyAlignment="1">
      <alignment horizontal="right" vertical="center" wrapText="1"/>
    </xf>
    <xf numFmtId="165" fontId="2" fillId="13" borderId="1" xfId="1" applyNumberFormat="1" applyFont="1" applyFill="1" applyBorder="1" applyAlignment="1">
      <alignment horizontal="right" vertical="center" wrapText="1"/>
    </xf>
    <xf numFmtId="41" fontId="4" fillId="0" borderId="7" xfId="1" applyNumberFormat="1" applyFont="1" applyFill="1" applyBorder="1" applyAlignment="1">
      <alignment horizontal="right" vertical="center" wrapText="1"/>
    </xf>
    <xf numFmtId="165" fontId="9" fillId="15" borderId="1" xfId="1" applyNumberFormat="1" applyFont="1" applyFill="1" applyBorder="1" applyAlignment="1">
      <alignment horizontal="right" vertical="center" wrapText="1"/>
    </xf>
    <xf numFmtId="41" fontId="2" fillId="2" borderId="7" xfId="1" applyNumberFormat="1" applyFont="1" applyFill="1" applyBorder="1" applyAlignment="1">
      <alignment horizontal="right" vertical="center" wrapText="1"/>
    </xf>
    <xf numFmtId="41" fontId="2" fillId="17" borderId="1" xfId="0" applyNumberFormat="1" applyFont="1" applyFill="1" applyBorder="1" applyAlignment="1">
      <alignment horizontal="right" vertical="center"/>
    </xf>
    <xf numFmtId="41" fontId="2" fillId="18" borderId="1" xfId="0" applyNumberFormat="1" applyFont="1" applyFill="1" applyBorder="1" applyAlignment="1">
      <alignment horizontal="right" vertical="center"/>
    </xf>
    <xf numFmtId="41" fontId="2" fillId="2" borderId="7" xfId="0" applyNumberFormat="1" applyFont="1" applyFill="1" applyBorder="1" applyAlignment="1">
      <alignment horizontal="right" vertical="center" wrapText="1"/>
    </xf>
    <xf numFmtId="41" fontId="2" fillId="5" borderId="1" xfId="2" applyNumberFormat="1" applyFont="1" applyFill="1" applyBorder="1" applyAlignment="1">
      <alignment horizontal="right" vertical="center" wrapText="1"/>
    </xf>
    <xf numFmtId="41" fontId="10" fillId="2" borderId="7" xfId="0" applyNumberFormat="1" applyFont="1" applyFill="1" applyBorder="1" applyAlignment="1">
      <alignment horizontal="right" wrapText="1"/>
    </xf>
    <xf numFmtId="0" fontId="2" fillId="5" borderId="1" xfId="2" applyNumberFormat="1" applyFont="1" applyFill="1" applyBorder="1" applyAlignment="1">
      <alignment horizontal="center" vertical="center" wrapText="1"/>
    </xf>
    <xf numFmtId="43" fontId="4" fillId="0" borderId="6" xfId="1" applyNumberFormat="1" applyFont="1" applyFill="1" applyBorder="1" applyAlignment="1">
      <alignment horizontal="right" vertical="center" wrapText="1"/>
    </xf>
    <xf numFmtId="43" fontId="4" fillId="0" borderId="1" xfId="1" applyNumberFormat="1" applyFont="1" applyFill="1" applyBorder="1" applyAlignment="1">
      <alignment horizontal="right" vertical="center" wrapText="1"/>
    </xf>
    <xf numFmtId="41" fontId="4" fillId="22" borderId="1" xfId="2" applyNumberFormat="1" applyFont="1" applyFill="1" applyBorder="1" applyAlignment="1">
      <alignment horizontal="right" vertical="center"/>
    </xf>
    <xf numFmtId="165" fontId="4" fillId="22" borderId="6" xfId="1" applyNumberFormat="1" applyFont="1" applyFill="1" applyBorder="1" applyAlignment="1">
      <alignment horizontal="right" vertical="center" wrapText="1"/>
    </xf>
    <xf numFmtId="40" fontId="4" fillId="22" borderId="1" xfId="1" applyNumberFormat="1" applyFont="1" applyFill="1" applyBorder="1" applyAlignment="1">
      <alignment horizontal="right" vertical="center" wrapText="1"/>
    </xf>
    <xf numFmtId="0" fontId="5" fillId="23" borderId="1" xfId="0" applyFont="1" applyFill="1" applyBorder="1" applyAlignment="1">
      <alignment horizontal="left" vertical="center"/>
    </xf>
    <xf numFmtId="164" fontId="5" fillId="24" borderId="1" xfId="2" applyNumberFormat="1" applyFont="1" applyFill="1" applyBorder="1" applyAlignment="1">
      <alignment horizontal="right" vertical="center"/>
    </xf>
    <xf numFmtId="41" fontId="5" fillId="24" borderId="1" xfId="1" applyNumberFormat="1" applyFont="1" applyFill="1" applyBorder="1" applyAlignment="1">
      <alignment horizontal="right" vertical="center" wrapText="1"/>
    </xf>
    <xf numFmtId="0" fontId="2" fillId="25" borderId="1" xfId="2" applyNumberFormat="1" applyFont="1" applyFill="1" applyBorder="1" applyAlignment="1">
      <alignment horizontal="center" vertical="center" wrapText="1"/>
    </xf>
    <xf numFmtId="165" fontId="5" fillId="21" borderId="1" xfId="1" applyNumberFormat="1" applyFont="1" applyFill="1" applyBorder="1" applyAlignment="1">
      <alignment vertical="center"/>
    </xf>
    <xf numFmtId="0" fontId="5" fillId="26" borderId="1" xfId="0" applyFont="1" applyFill="1" applyBorder="1" applyAlignment="1">
      <alignment vertical="center"/>
    </xf>
    <xf numFmtId="164" fontId="5" fillId="26" borderId="1" xfId="0" applyNumberFormat="1" applyFont="1" applyFill="1" applyBorder="1" applyAlignment="1">
      <alignment vertical="center"/>
    </xf>
    <xf numFmtId="165" fontId="5" fillId="26" borderId="1" xfId="1" applyNumberFormat="1" applyFont="1" applyFill="1" applyBorder="1" applyAlignment="1">
      <alignment vertical="center"/>
    </xf>
    <xf numFmtId="2" fontId="5" fillId="26" borderId="1" xfId="0" applyNumberFormat="1" applyFont="1" applyFill="1" applyBorder="1" applyAlignment="1">
      <alignment vertical="center"/>
    </xf>
    <xf numFmtId="0" fontId="5" fillId="27" borderId="0" xfId="0" applyFont="1" applyFill="1" applyBorder="1" applyAlignment="1">
      <alignment vertical="center"/>
    </xf>
    <xf numFmtId="164" fontId="5" fillId="27" borderId="0" xfId="0" applyNumberFormat="1" applyFont="1" applyFill="1" applyBorder="1" applyAlignment="1">
      <alignment vertical="center"/>
    </xf>
    <xf numFmtId="165" fontId="5" fillId="27" borderId="0" xfId="1" applyNumberFormat="1" applyFont="1" applyFill="1" applyBorder="1" applyAlignment="1">
      <alignment vertical="center"/>
    </xf>
    <xf numFmtId="2" fontId="5" fillId="27" borderId="0" xfId="0" applyNumberFormat="1" applyFont="1" applyFill="1" applyBorder="1" applyAlignment="1">
      <alignment vertical="center"/>
    </xf>
    <xf numFmtId="164" fontId="0" fillId="0" borderId="0" xfId="0" applyNumberFormat="1"/>
    <xf numFmtId="41" fontId="4" fillId="2" borderId="1" xfId="2" applyNumberFormat="1" applyFont="1" applyFill="1" applyBorder="1" applyAlignment="1">
      <alignment horizontal="right" vertical="center"/>
    </xf>
    <xf numFmtId="0" fontId="3" fillId="2" borderId="9" xfId="0" applyFont="1" applyFill="1" applyBorder="1" applyAlignment="1">
      <alignment vertical="center"/>
    </xf>
    <xf numFmtId="41" fontId="6" fillId="7" borderId="4" xfId="1" applyNumberFormat="1" applyFont="1" applyFill="1" applyBorder="1" applyAlignment="1">
      <alignment horizontal="center" vertical="center" wrapText="1"/>
    </xf>
    <xf numFmtId="41" fontId="4" fillId="9" borderId="4" xfId="1" applyNumberFormat="1" applyFont="1" applyFill="1" applyBorder="1" applyAlignment="1">
      <alignment horizontal="right" vertical="center" wrapText="1"/>
    </xf>
    <xf numFmtId="41" fontId="2" fillId="10" borderId="4" xfId="0" applyNumberFormat="1" applyFont="1" applyFill="1" applyBorder="1" applyAlignment="1">
      <alignment horizontal="right" vertical="center"/>
    </xf>
    <xf numFmtId="41" fontId="2" fillId="12" borderId="4" xfId="0" applyNumberFormat="1" applyFont="1" applyFill="1" applyBorder="1" applyAlignment="1">
      <alignment horizontal="right" vertical="center"/>
    </xf>
    <xf numFmtId="41" fontId="5" fillId="14" borderId="4" xfId="0" applyNumberFormat="1" applyFont="1" applyFill="1" applyBorder="1" applyAlignment="1">
      <alignment horizontal="right" vertical="center"/>
    </xf>
    <xf numFmtId="40" fontId="4" fillId="22" borderId="6" xfId="1" applyNumberFormat="1" applyFont="1" applyFill="1" applyBorder="1" applyAlignment="1">
      <alignment horizontal="right" vertical="center" wrapText="1"/>
    </xf>
    <xf numFmtId="43" fontId="5" fillId="7" borderId="1" xfId="1" applyNumberFormat="1" applyFont="1" applyFill="1" applyBorder="1" applyAlignment="1">
      <alignment horizontal="right" vertical="center" wrapText="1"/>
    </xf>
    <xf numFmtId="166" fontId="2" fillId="11" borderId="1" xfId="1" applyNumberFormat="1" applyFont="1" applyFill="1" applyBorder="1" applyAlignment="1">
      <alignment horizontal="right" vertical="center" wrapText="1"/>
    </xf>
    <xf numFmtId="43" fontId="2" fillId="13" borderId="1" xfId="1" applyNumberFormat="1" applyFont="1" applyFill="1" applyBorder="1" applyAlignment="1">
      <alignment horizontal="right" vertical="center" wrapText="1"/>
    </xf>
    <xf numFmtId="43" fontId="9" fillId="15" borderId="1" xfId="1" applyNumberFormat="1" applyFont="1" applyFill="1" applyBorder="1" applyAlignment="1">
      <alignment horizontal="right" vertical="center" wrapText="1"/>
    </xf>
    <xf numFmtId="166" fontId="5" fillId="9" borderId="1" xfId="1" applyNumberFormat="1" applyFont="1" applyFill="1" applyBorder="1" applyAlignment="1">
      <alignment horizontal="right" vertical="center" wrapText="1"/>
    </xf>
    <xf numFmtId="166" fontId="5" fillId="24" borderId="1" xfId="1" applyNumberFormat="1" applyFont="1" applyFill="1" applyBorder="1" applyAlignment="1">
      <alignment horizontal="right" vertical="center" wrapText="1"/>
    </xf>
    <xf numFmtId="166" fontId="2" fillId="5" borderId="1" xfId="2" applyNumberFormat="1" applyFont="1" applyFill="1" applyBorder="1" applyAlignment="1">
      <alignment horizontal="right" vertical="center" wrapText="1"/>
    </xf>
    <xf numFmtId="43" fontId="5" fillId="21" borderId="1" xfId="1" applyNumberFormat="1" applyFont="1" applyFill="1" applyBorder="1" applyAlignment="1">
      <alignment vertical="center"/>
    </xf>
    <xf numFmtId="43" fontId="4" fillId="22" borderId="6" xfId="1" applyNumberFormat="1" applyFont="1" applyFill="1" applyBorder="1" applyAlignment="1">
      <alignment horizontal="right" vertical="center" wrapText="1"/>
    </xf>
    <xf numFmtId="43" fontId="4" fillId="22" borderId="1" xfId="1" applyNumberFormat="1" applyFont="1" applyFill="1" applyBorder="1" applyAlignment="1">
      <alignment horizontal="right" vertical="center" wrapText="1"/>
    </xf>
    <xf numFmtId="164" fontId="5" fillId="21" borderId="1" xfId="2" applyNumberFormat="1" applyFont="1" applyFill="1" applyBorder="1" applyAlignment="1">
      <alignment vertical="center"/>
    </xf>
    <xf numFmtId="164" fontId="2" fillId="5" borderId="1" xfId="2" applyNumberFormat="1" applyFont="1" applyFill="1" applyBorder="1" applyAlignment="1">
      <alignment horizontal="right" vertical="center" wrapText="1"/>
    </xf>
    <xf numFmtId="164" fontId="9" fillId="15" borderId="1" xfId="2" applyNumberFormat="1" applyFont="1" applyFill="1" applyBorder="1" applyAlignment="1">
      <alignment horizontal="right" vertical="center" wrapText="1"/>
    </xf>
    <xf numFmtId="164" fontId="5" fillId="24" borderId="1" xfId="2" applyNumberFormat="1" applyFont="1" applyFill="1" applyBorder="1" applyAlignment="1">
      <alignment horizontal="right" vertical="center" wrapText="1"/>
    </xf>
    <xf numFmtId="164" fontId="2" fillId="11" borderId="1" xfId="2" applyNumberFormat="1" applyFont="1" applyFill="1" applyBorder="1" applyAlignment="1">
      <alignment horizontal="right" vertical="center" wrapText="1"/>
    </xf>
    <xf numFmtId="164" fontId="5" fillId="7" borderId="1" xfId="2" applyNumberFormat="1" applyFont="1" applyFill="1" applyBorder="1" applyAlignment="1">
      <alignment horizontal="right" vertical="center" wrapText="1"/>
    </xf>
    <xf numFmtId="0" fontId="2" fillId="4" borderId="0" xfId="2" applyNumberFormat="1" applyFont="1" applyFill="1" applyBorder="1" applyAlignment="1">
      <alignment horizontal="center" wrapText="1"/>
    </xf>
    <xf numFmtId="167" fontId="4" fillId="0" borderId="6" xfId="1" applyNumberFormat="1" applyFont="1" applyFill="1" applyBorder="1" applyAlignment="1">
      <alignment horizontal="right" vertical="center" wrapText="1"/>
    </xf>
    <xf numFmtId="167" fontId="4" fillId="0" borderId="1" xfId="1" applyNumberFormat="1" applyFont="1" applyFill="1" applyBorder="1" applyAlignment="1">
      <alignment horizontal="right" vertical="center" wrapText="1"/>
    </xf>
    <xf numFmtId="167" fontId="4" fillId="0" borderId="1" xfId="2" applyNumberFormat="1" applyFont="1" applyFill="1" applyBorder="1" applyAlignment="1">
      <alignment horizontal="right" vertical="center"/>
    </xf>
    <xf numFmtId="167" fontId="5" fillId="7" borderId="1" xfId="1" applyNumberFormat="1" applyFont="1" applyFill="1" applyBorder="1" applyAlignment="1">
      <alignment horizontal="right" vertical="center" wrapText="1"/>
    </xf>
    <xf numFmtId="167" fontId="2" fillId="11" borderId="1" xfId="1" applyNumberFormat="1" applyFont="1" applyFill="1" applyBorder="1" applyAlignment="1">
      <alignment horizontal="right" vertical="center" wrapText="1"/>
    </xf>
    <xf numFmtId="167" fontId="2" fillId="13" borderId="1" xfId="1" applyNumberFormat="1" applyFont="1" applyFill="1" applyBorder="1" applyAlignment="1">
      <alignment horizontal="right" vertical="center" wrapText="1"/>
    </xf>
    <xf numFmtId="167" fontId="5" fillId="24" borderId="1" xfId="1" applyNumberFormat="1" applyFont="1" applyFill="1" applyBorder="1" applyAlignment="1">
      <alignment horizontal="right" vertical="center" wrapText="1"/>
    </xf>
    <xf numFmtId="167" fontId="5" fillId="9" borderId="1" xfId="1" applyNumberFormat="1" applyFont="1" applyFill="1" applyBorder="1" applyAlignment="1">
      <alignment horizontal="right" vertical="center" wrapText="1"/>
    </xf>
    <xf numFmtId="167" fontId="9" fillId="15" borderId="1" xfId="1" applyNumberFormat="1" applyFont="1" applyFill="1" applyBorder="1" applyAlignment="1">
      <alignment horizontal="right" vertical="center" wrapText="1"/>
    </xf>
    <xf numFmtId="167" fontId="2" fillId="17" borderId="1" xfId="0" applyNumberFormat="1" applyFont="1" applyFill="1" applyBorder="1" applyAlignment="1">
      <alignment horizontal="right" vertical="center"/>
    </xf>
    <xf numFmtId="167" fontId="2" fillId="18" borderId="1" xfId="0" applyNumberFormat="1" applyFont="1" applyFill="1" applyBorder="1" applyAlignment="1">
      <alignment horizontal="right" vertical="center"/>
    </xf>
    <xf numFmtId="167" fontId="2" fillId="5" borderId="1" xfId="2" applyNumberFormat="1" applyFont="1" applyFill="1" applyBorder="1" applyAlignment="1">
      <alignment horizontal="right" vertical="center" wrapText="1"/>
    </xf>
    <xf numFmtId="167" fontId="5" fillId="21" borderId="1" xfId="1" applyNumberFormat="1" applyFont="1" applyFill="1" applyBorder="1" applyAlignment="1">
      <alignment vertical="center"/>
    </xf>
    <xf numFmtId="43" fontId="4" fillId="22" borderId="1" xfId="2" applyNumberFormat="1" applyFont="1" applyFill="1" applyBorder="1" applyAlignment="1">
      <alignment horizontal="right" vertical="center"/>
    </xf>
    <xf numFmtId="43" fontId="4" fillId="2" borderId="7" xfId="1" applyNumberFormat="1" applyFont="1" applyFill="1" applyBorder="1" applyAlignment="1">
      <alignment horizontal="right" vertical="center" wrapText="1"/>
    </xf>
    <xf numFmtId="43" fontId="4" fillId="9" borderId="5" xfId="1" applyNumberFormat="1" applyFont="1" applyFill="1" applyBorder="1" applyAlignment="1">
      <alignment horizontal="right" vertical="center" wrapText="1"/>
    </xf>
    <xf numFmtId="43" fontId="2" fillId="10" borderId="5" xfId="0" applyNumberFormat="1" applyFont="1" applyFill="1" applyBorder="1" applyAlignment="1">
      <alignment horizontal="right" vertical="center"/>
    </xf>
    <xf numFmtId="43" fontId="2" fillId="12" borderId="5" xfId="0" applyNumberFormat="1" applyFont="1" applyFill="1" applyBorder="1" applyAlignment="1">
      <alignment horizontal="right" vertical="center"/>
    </xf>
    <xf numFmtId="43" fontId="4" fillId="0" borderId="7" xfId="1" applyNumberFormat="1" applyFont="1" applyFill="1" applyBorder="1" applyAlignment="1">
      <alignment horizontal="right" vertical="center" wrapText="1"/>
    </xf>
    <xf numFmtId="43" fontId="5" fillId="14" borderId="5" xfId="0" applyNumberFormat="1" applyFont="1" applyFill="1" applyBorder="1" applyAlignment="1">
      <alignment horizontal="right" vertical="center"/>
    </xf>
    <xf numFmtId="43" fontId="2" fillId="2" borderId="7" xfId="1" applyNumberFormat="1" applyFont="1" applyFill="1" applyBorder="1" applyAlignment="1">
      <alignment horizontal="right" vertical="center" wrapText="1"/>
    </xf>
    <xf numFmtId="43" fontId="2" fillId="2" borderId="7" xfId="0" applyNumberFormat="1" applyFont="1" applyFill="1" applyBorder="1" applyAlignment="1">
      <alignment horizontal="right" vertical="center" wrapText="1"/>
    </xf>
    <xf numFmtId="43" fontId="10" fillId="2" borderId="7" xfId="0" applyNumberFormat="1" applyFont="1" applyFill="1" applyBorder="1" applyAlignment="1">
      <alignment horizontal="right" wrapText="1"/>
    </xf>
    <xf numFmtId="43" fontId="5" fillId="6" borderId="1" xfId="2" applyNumberFormat="1" applyFont="1" applyFill="1" applyBorder="1" applyAlignment="1">
      <alignment horizontal="left" vertical="center"/>
    </xf>
    <xf numFmtId="43" fontId="3" fillId="2" borderId="0" xfId="0" applyNumberFormat="1" applyFont="1" applyFill="1" applyBorder="1" applyAlignment="1"/>
    <xf numFmtId="43" fontId="5" fillId="8" borderId="1" xfId="2" applyNumberFormat="1" applyFont="1" applyFill="1" applyBorder="1" applyAlignment="1">
      <alignment horizontal="left" vertical="center"/>
    </xf>
    <xf numFmtId="43" fontId="8" fillId="14" borderId="1" xfId="2" applyNumberFormat="1" applyFont="1" applyFill="1" applyBorder="1" applyAlignment="1">
      <alignment vertical="center"/>
    </xf>
    <xf numFmtId="43" fontId="8" fillId="20" borderId="1" xfId="2" applyNumberFormat="1" applyFont="1" applyFill="1" applyBorder="1" applyAlignment="1">
      <alignment vertical="center"/>
    </xf>
    <xf numFmtId="43" fontId="5" fillId="26" borderId="1" xfId="1" applyNumberFormat="1" applyFont="1" applyFill="1" applyBorder="1" applyAlignment="1">
      <alignment vertical="center"/>
    </xf>
    <xf numFmtId="43" fontId="5" fillId="27" borderId="0" xfId="1" applyNumberFormat="1" applyFont="1" applyFill="1" applyBorder="1" applyAlignment="1">
      <alignment vertical="center"/>
    </xf>
    <xf numFmtId="164" fontId="2" fillId="13" borderId="1" xfId="2" applyNumberFormat="1" applyFont="1" applyFill="1" applyBorder="1" applyAlignment="1">
      <alignment horizontal="right" vertical="center" wrapText="1"/>
    </xf>
    <xf numFmtId="44" fontId="0" fillId="0" borderId="0" xfId="0" applyNumberFormat="1"/>
    <xf numFmtId="43" fontId="4" fillId="0" borderId="1" xfId="2" applyNumberFormat="1" applyFont="1" applyFill="1" applyBorder="1" applyAlignment="1">
      <alignment horizontal="right" vertical="center"/>
    </xf>
    <xf numFmtId="43" fontId="2" fillId="11" borderId="1" xfId="1" applyNumberFormat="1" applyFont="1" applyFill="1" applyBorder="1" applyAlignment="1">
      <alignment horizontal="right" vertical="center" wrapText="1"/>
    </xf>
    <xf numFmtId="43" fontId="5" fillId="24" borderId="1" xfId="1" applyNumberFormat="1" applyFont="1" applyFill="1" applyBorder="1" applyAlignment="1">
      <alignment horizontal="right" vertical="center" wrapText="1"/>
    </xf>
    <xf numFmtId="43" fontId="5" fillId="9" borderId="1" xfId="1" applyNumberFormat="1" applyFont="1" applyFill="1" applyBorder="1" applyAlignment="1">
      <alignment horizontal="right" vertical="center" wrapText="1"/>
    </xf>
    <xf numFmtId="43" fontId="2" fillId="5" borderId="1" xfId="2" applyNumberFormat="1" applyFont="1" applyFill="1" applyBorder="1" applyAlignment="1">
      <alignment horizontal="right" vertical="center" wrapText="1"/>
    </xf>
    <xf numFmtId="164" fontId="17" fillId="0" borderId="0" xfId="0" applyNumberFormat="1" applyFont="1"/>
    <xf numFmtId="165" fontId="4" fillId="2" borderId="7" xfId="1" applyNumberFormat="1" applyFont="1" applyFill="1" applyBorder="1" applyAlignment="1">
      <alignment horizontal="right" vertical="center" wrapText="1"/>
    </xf>
    <xf numFmtId="165" fontId="2" fillId="10" borderId="4" xfId="0" applyNumberFormat="1" applyFont="1" applyFill="1" applyBorder="1" applyAlignment="1">
      <alignment horizontal="right" vertical="center"/>
    </xf>
    <xf numFmtId="165" fontId="4" fillId="22" borderId="1" xfId="2" applyNumberFormat="1" applyFont="1" applyFill="1" applyBorder="1" applyAlignment="1">
      <alignment horizontal="right" vertical="center"/>
    </xf>
    <xf numFmtId="41" fontId="5" fillId="14" borderId="3" xfId="0" applyNumberFormat="1" applyFont="1" applyFill="1" applyBorder="1" applyAlignment="1">
      <alignment horizontal="right" vertical="center"/>
    </xf>
    <xf numFmtId="41" fontId="5" fillId="14" borderId="5" xfId="0" applyNumberFormat="1" applyFont="1" applyFill="1" applyBorder="1" applyAlignment="1">
      <alignment horizontal="right" vertical="center"/>
    </xf>
    <xf numFmtId="41" fontId="6" fillId="7" borderId="3" xfId="1" applyNumberFormat="1" applyFont="1" applyFill="1" applyBorder="1" applyAlignment="1">
      <alignment horizontal="center" vertical="center" wrapText="1"/>
    </xf>
    <xf numFmtId="41" fontId="6" fillId="7" borderId="5" xfId="1" applyNumberFormat="1" applyFont="1" applyFill="1" applyBorder="1" applyAlignment="1">
      <alignment horizontal="center" vertical="center" wrapText="1"/>
    </xf>
    <xf numFmtId="41" fontId="4" fillId="9" borderId="3" xfId="1" applyNumberFormat="1" applyFont="1" applyFill="1" applyBorder="1" applyAlignment="1">
      <alignment horizontal="right" vertical="center" wrapText="1"/>
    </xf>
    <xf numFmtId="41" fontId="4" fillId="9" borderId="5" xfId="1" applyNumberFormat="1" applyFont="1" applyFill="1" applyBorder="1" applyAlignment="1">
      <alignment horizontal="right" vertical="center" wrapText="1"/>
    </xf>
    <xf numFmtId="41" fontId="2" fillId="10" borderId="3" xfId="0" applyNumberFormat="1" applyFont="1" applyFill="1" applyBorder="1" applyAlignment="1">
      <alignment horizontal="right" vertical="center"/>
    </xf>
    <xf numFmtId="41" fontId="2" fillId="10" borderId="5" xfId="0" applyNumberFormat="1" applyFont="1" applyFill="1" applyBorder="1" applyAlignment="1">
      <alignment horizontal="right" vertical="center"/>
    </xf>
    <xf numFmtId="41" fontId="2" fillId="12" borderId="3" xfId="0" applyNumberFormat="1" applyFont="1" applyFill="1" applyBorder="1" applyAlignment="1">
      <alignment horizontal="right" vertical="center"/>
    </xf>
    <xf numFmtId="41" fontId="2" fillId="12" borderId="5" xfId="0" applyNumberFormat="1" applyFont="1" applyFill="1" applyBorder="1" applyAlignment="1">
      <alignment horizontal="right" vertical="center"/>
    </xf>
    <xf numFmtId="38" fontId="4" fillId="9" borderId="4" xfId="1" applyNumberFormat="1" applyFont="1" applyFill="1" applyBorder="1" applyAlignment="1">
      <alignment horizontal="right" vertical="center"/>
    </xf>
    <xf numFmtId="38" fontId="2" fillId="10" borderId="4" xfId="0" applyNumberFormat="1" applyFont="1" applyFill="1" applyBorder="1" applyAlignment="1">
      <alignment horizontal="right" vertical="center"/>
    </xf>
    <xf numFmtId="38" fontId="2" fillId="12" borderId="4" xfId="0" applyNumberFormat="1" applyFont="1" applyFill="1" applyBorder="1" applyAlignment="1">
      <alignment horizontal="right" vertical="center"/>
    </xf>
    <xf numFmtId="38" fontId="5" fillId="14" borderId="4" xfId="0" applyNumberFormat="1" applyFont="1" applyFill="1" applyBorder="1" applyAlignment="1">
      <alignment horizontal="right" vertical="center"/>
    </xf>
    <xf numFmtId="41" fontId="5" fillId="28" borderId="1" xfId="1" applyNumberFormat="1" applyFont="1" applyFill="1" applyBorder="1" applyAlignment="1">
      <alignment horizontal="right" vertical="center" wrapText="1"/>
    </xf>
    <xf numFmtId="41" fontId="5" fillId="14" borderId="3" xfId="0" applyNumberFormat="1" applyFont="1" applyFill="1" applyBorder="1" applyAlignment="1">
      <alignment horizontal="right" vertical="center"/>
    </xf>
    <xf numFmtId="41" fontId="5" fillId="14" borderId="5" xfId="0" applyNumberFormat="1" applyFont="1" applyFill="1" applyBorder="1" applyAlignment="1">
      <alignment horizontal="right" vertical="center"/>
    </xf>
    <xf numFmtId="41" fontId="6" fillId="7" borderId="3" xfId="1" applyNumberFormat="1" applyFont="1" applyFill="1" applyBorder="1" applyAlignment="1">
      <alignment horizontal="center" vertical="center" wrapText="1"/>
    </xf>
    <xf numFmtId="41" fontId="6" fillId="7" borderId="5" xfId="1" applyNumberFormat="1" applyFont="1" applyFill="1" applyBorder="1" applyAlignment="1">
      <alignment horizontal="center" vertical="center" wrapText="1"/>
    </xf>
    <xf numFmtId="41" fontId="4" fillId="9" borderId="3" xfId="1" applyNumberFormat="1" applyFont="1" applyFill="1" applyBorder="1" applyAlignment="1">
      <alignment horizontal="right" vertical="center" wrapText="1"/>
    </xf>
    <xf numFmtId="41" fontId="4" fillId="9" borderId="5" xfId="1" applyNumberFormat="1" applyFont="1" applyFill="1" applyBorder="1" applyAlignment="1">
      <alignment horizontal="right" vertical="center" wrapText="1"/>
    </xf>
    <xf numFmtId="41" fontId="2" fillId="10" borderId="3" xfId="0" applyNumberFormat="1" applyFont="1" applyFill="1" applyBorder="1" applyAlignment="1">
      <alignment horizontal="right" vertical="center"/>
    </xf>
    <xf numFmtId="41" fontId="2" fillId="10" borderId="5" xfId="0" applyNumberFormat="1" applyFont="1" applyFill="1" applyBorder="1" applyAlignment="1">
      <alignment horizontal="right" vertical="center"/>
    </xf>
    <xf numFmtId="41" fontId="2" fillId="12" borderId="3" xfId="0" applyNumberFormat="1" applyFont="1" applyFill="1" applyBorder="1" applyAlignment="1">
      <alignment horizontal="right" vertical="center"/>
    </xf>
    <xf numFmtId="41" fontId="2" fillId="12" borderId="5" xfId="0" applyNumberFormat="1" applyFont="1" applyFill="1" applyBorder="1" applyAlignment="1">
      <alignment horizontal="right" vertical="center"/>
    </xf>
    <xf numFmtId="38" fontId="4" fillId="9" borderId="4" xfId="1" applyNumberFormat="1" applyFont="1" applyFill="1" applyBorder="1" applyAlignment="1">
      <alignment horizontal="right" vertical="center"/>
    </xf>
    <xf numFmtId="38" fontId="2" fillId="10" borderId="4" xfId="0" applyNumberFormat="1" applyFont="1" applyFill="1" applyBorder="1" applyAlignment="1">
      <alignment horizontal="right" vertical="center"/>
    </xf>
    <xf numFmtId="38" fontId="2" fillId="12" borderId="4" xfId="0" applyNumberFormat="1" applyFont="1" applyFill="1" applyBorder="1" applyAlignment="1">
      <alignment horizontal="right" vertical="center"/>
    </xf>
    <xf numFmtId="38" fontId="5" fillId="14" borderId="4" xfId="0" applyNumberFormat="1" applyFont="1" applyFill="1" applyBorder="1" applyAlignment="1">
      <alignment horizontal="right" vertical="center"/>
    </xf>
    <xf numFmtId="0" fontId="22" fillId="0" borderId="0" xfId="0" applyFont="1"/>
    <xf numFmtId="44" fontId="22" fillId="0" borderId="0" xfId="2" applyFont="1"/>
    <xf numFmtId="44" fontId="23" fillId="5" borderId="6" xfId="2" applyFont="1" applyFill="1" applyBorder="1" applyAlignment="1">
      <alignment horizontal="center" vertical="center" wrapText="1"/>
    </xf>
    <xf numFmtId="0" fontId="24" fillId="6" borderId="1" xfId="0" applyFont="1" applyFill="1" applyBorder="1" applyAlignment="1">
      <alignment horizontal="left" vertical="center"/>
    </xf>
    <xf numFmtId="44" fontId="24" fillId="6" borderId="4" xfId="2" applyFont="1" applyFill="1" applyBorder="1" applyAlignment="1">
      <alignment horizontal="right" vertical="center"/>
    </xf>
    <xf numFmtId="0" fontId="25" fillId="2" borderId="1" xfId="0" applyFont="1" applyFill="1" applyBorder="1" applyAlignment="1">
      <alignment vertical="center"/>
    </xf>
    <xf numFmtId="44" fontId="25" fillId="0" borderId="1" xfId="2" applyFont="1" applyFill="1" applyBorder="1" applyAlignment="1">
      <alignment horizontal="right" vertical="center"/>
    </xf>
    <xf numFmtId="0" fontId="25" fillId="2" borderId="1" xfId="3" applyFont="1" applyFill="1" applyBorder="1" applyAlignment="1">
      <alignment vertical="center"/>
    </xf>
    <xf numFmtId="0" fontId="26" fillId="2" borderId="1" xfId="3" applyFont="1" applyFill="1" applyBorder="1" applyAlignment="1">
      <alignment vertical="center"/>
    </xf>
    <xf numFmtId="44" fontId="25" fillId="22" borderId="1" xfId="2" applyFont="1" applyFill="1" applyBorder="1" applyAlignment="1">
      <alignment horizontal="right" vertical="center"/>
    </xf>
    <xf numFmtId="44" fontId="24" fillId="7" borderId="1" xfId="2" applyFont="1" applyFill="1" applyBorder="1" applyAlignment="1">
      <alignment horizontal="right" vertical="center"/>
    </xf>
    <xf numFmtId="0" fontId="26" fillId="2" borderId="9" xfId="0" applyFont="1" applyFill="1" applyBorder="1" applyAlignment="1">
      <alignment vertical="center"/>
    </xf>
    <xf numFmtId="44" fontId="25" fillId="2" borderId="7" xfId="2" applyFont="1" applyFill="1" applyBorder="1" applyAlignment="1">
      <alignment horizontal="right" vertical="center"/>
    </xf>
    <xf numFmtId="0" fontId="24" fillId="8" borderId="1" xfId="0" applyFont="1" applyFill="1" applyBorder="1" applyAlignment="1">
      <alignment horizontal="left" vertical="center"/>
    </xf>
    <xf numFmtId="44" fontId="25" fillId="9" borderId="4" xfId="2" applyFont="1" applyFill="1" applyBorder="1" applyAlignment="1">
      <alignment horizontal="right" vertical="center"/>
    </xf>
    <xf numFmtId="0" fontId="25" fillId="2" borderId="7" xfId="0" applyFont="1" applyFill="1" applyBorder="1" applyAlignment="1">
      <alignment vertical="center"/>
    </xf>
    <xf numFmtId="0" fontId="23" fillId="10" borderId="1" xfId="0" applyFont="1" applyFill="1" applyBorder="1" applyAlignment="1">
      <alignment horizontal="left" vertical="center"/>
    </xf>
    <xf numFmtId="44" fontId="23" fillId="10" borderId="4" xfId="2" applyFont="1" applyFill="1" applyBorder="1" applyAlignment="1">
      <alignment horizontal="right" vertical="center"/>
    </xf>
    <xf numFmtId="44" fontId="23" fillId="11" borderId="1" xfId="2" applyFont="1" applyFill="1" applyBorder="1" applyAlignment="1">
      <alignment horizontal="right" vertical="center"/>
    </xf>
    <xf numFmtId="0" fontId="23" fillId="12" borderId="1" xfId="0" applyFont="1" applyFill="1" applyBorder="1" applyAlignment="1">
      <alignment horizontal="left" vertical="center"/>
    </xf>
    <xf numFmtId="44" fontId="23" fillId="12" borderId="4" xfId="2" applyFont="1" applyFill="1" applyBorder="1" applyAlignment="1">
      <alignment horizontal="right" vertical="center"/>
    </xf>
    <xf numFmtId="44" fontId="25" fillId="22" borderId="6" xfId="2" applyFont="1" applyFill="1" applyBorder="1" applyAlignment="1">
      <alignment horizontal="right" vertical="center" wrapText="1"/>
    </xf>
    <xf numFmtId="44" fontId="23" fillId="13" borderId="1" xfId="2" applyFont="1" applyFill="1" applyBorder="1" applyAlignment="1">
      <alignment horizontal="right" vertical="center"/>
    </xf>
    <xf numFmtId="0" fontId="25" fillId="0" borderId="7" xfId="0" applyFont="1" applyBorder="1" applyAlignment="1">
      <alignment vertical="center"/>
    </xf>
    <xf numFmtId="44" fontId="25" fillId="0" borderId="7" xfId="2" applyFont="1" applyFill="1" applyBorder="1" applyAlignment="1">
      <alignment horizontal="right" vertical="center"/>
    </xf>
    <xf numFmtId="0" fontId="24" fillId="23" borderId="1" xfId="0" applyFont="1" applyFill="1" applyBorder="1" applyAlignment="1">
      <alignment horizontal="left" vertical="center"/>
    </xf>
    <xf numFmtId="44" fontId="24" fillId="24" borderId="1" xfId="2" applyFont="1" applyFill="1" applyBorder="1" applyAlignment="1">
      <alignment horizontal="right" vertical="center"/>
    </xf>
    <xf numFmtId="44" fontId="24" fillId="9" borderId="1" xfId="2" applyFont="1" applyFill="1" applyBorder="1" applyAlignment="1">
      <alignment horizontal="right" vertical="center"/>
    </xf>
    <xf numFmtId="0" fontId="26" fillId="0" borderId="7" xfId="0" applyFont="1" applyBorder="1" applyAlignment="1">
      <alignment vertical="center"/>
    </xf>
    <xf numFmtId="0" fontId="24" fillId="14" borderId="1" xfId="0" applyFont="1" applyFill="1" applyBorder="1" applyAlignment="1">
      <alignment horizontal="left" vertical="center"/>
    </xf>
    <xf numFmtId="44" fontId="24" fillId="14" borderId="4" xfId="2" applyFont="1" applyFill="1" applyBorder="1" applyAlignment="1">
      <alignment horizontal="right" vertical="center"/>
    </xf>
    <xf numFmtId="0" fontId="27" fillId="14" borderId="1" xfId="0" applyFont="1" applyFill="1" applyBorder="1" applyAlignment="1">
      <alignment vertical="center"/>
    </xf>
    <xf numFmtId="44" fontId="28" fillId="15" borderId="1" xfId="2" applyFont="1" applyFill="1" applyBorder="1" applyAlignment="1">
      <alignment horizontal="right" vertical="center"/>
    </xf>
    <xf numFmtId="0" fontId="26" fillId="2" borderId="7" xfId="0" applyFont="1" applyFill="1" applyBorder="1" applyAlignment="1">
      <alignment vertical="center"/>
    </xf>
    <xf numFmtId="44" fontId="23" fillId="2" borderId="7" xfId="2" applyFont="1" applyFill="1" applyBorder="1" applyAlignment="1">
      <alignment horizontal="right" vertical="center"/>
    </xf>
    <xf numFmtId="0" fontId="23" fillId="16" borderId="1" xfId="0" applyFont="1" applyFill="1" applyBorder="1" applyAlignment="1">
      <alignment horizontal="left" vertical="center"/>
    </xf>
    <xf numFmtId="44" fontId="23" fillId="17" borderId="1" xfId="2" applyFont="1" applyFill="1" applyBorder="1" applyAlignment="1">
      <alignment horizontal="right" vertical="center"/>
    </xf>
    <xf numFmtId="44" fontId="23" fillId="18" borderId="1" xfId="2" applyFont="1" applyFill="1" applyBorder="1" applyAlignment="1">
      <alignment horizontal="right" vertical="center"/>
    </xf>
    <xf numFmtId="0" fontId="29" fillId="19" borderId="1" xfId="0" applyFont="1" applyFill="1" applyBorder="1" applyAlignment="1">
      <alignment vertical="center"/>
    </xf>
    <xf numFmtId="44" fontId="23" fillId="5" borderId="1" xfId="2" applyFont="1" applyFill="1" applyBorder="1" applyAlignment="1">
      <alignment horizontal="right" vertical="center"/>
    </xf>
    <xf numFmtId="44" fontId="30" fillId="2" borderId="7" xfId="2" applyFont="1" applyFill="1" applyBorder="1" applyAlignment="1">
      <alignment horizontal="right" vertical="center" wrapText="1"/>
    </xf>
    <xf numFmtId="44" fontId="24" fillId="6" borderId="1" xfId="2" applyFont="1" applyFill="1" applyBorder="1" applyAlignment="1">
      <alignment horizontal="left" vertical="center"/>
    </xf>
    <xf numFmtId="0" fontId="26" fillId="2" borderId="0" xfId="0" applyFont="1" applyFill="1" applyBorder="1" applyAlignment="1"/>
    <xf numFmtId="44" fontId="26" fillId="2" borderId="0" xfId="2" applyFont="1" applyFill="1" applyBorder="1" applyAlignment="1"/>
    <xf numFmtId="44" fontId="24" fillId="8" borderId="1" xfId="2" applyFont="1" applyFill="1" applyBorder="1" applyAlignment="1">
      <alignment horizontal="left" vertical="center"/>
    </xf>
    <xf numFmtId="44" fontId="27" fillId="14" borderId="1" xfId="2" applyFont="1" applyFill="1" applyBorder="1" applyAlignment="1">
      <alignment vertical="center"/>
    </xf>
    <xf numFmtId="0" fontId="27" fillId="20" borderId="1" xfId="0" applyFont="1" applyFill="1" applyBorder="1" applyAlignment="1">
      <alignment vertical="center"/>
    </xf>
    <xf numFmtId="44" fontId="27" fillId="20" borderId="1" xfId="2" applyFont="1" applyFill="1" applyBorder="1" applyAlignment="1">
      <alignment vertical="center"/>
    </xf>
    <xf numFmtId="0" fontId="24" fillId="21" borderId="1" xfId="0" applyFont="1" applyFill="1" applyBorder="1" applyAlignment="1">
      <alignment vertical="center"/>
    </xf>
    <xf numFmtId="44" fontId="24" fillId="21" borderId="1" xfId="2" applyFont="1" applyFill="1" applyBorder="1" applyAlignment="1">
      <alignment vertical="center"/>
    </xf>
    <xf numFmtId="0" fontId="24" fillId="26" borderId="1" xfId="0" applyFont="1" applyFill="1" applyBorder="1" applyAlignment="1">
      <alignment vertical="center"/>
    </xf>
    <xf numFmtId="44" fontId="24" fillId="26" borderId="1" xfId="2" applyFont="1" applyFill="1" applyBorder="1" applyAlignment="1">
      <alignment vertical="center"/>
    </xf>
    <xf numFmtId="0" fontId="24" fillId="27" borderId="0" xfId="0" applyFont="1" applyFill="1" applyBorder="1" applyAlignment="1">
      <alignment vertical="center"/>
    </xf>
    <xf numFmtId="44" fontId="24" fillId="27" borderId="0" xfId="2" applyFont="1" applyFill="1" applyBorder="1" applyAlignment="1">
      <alignment vertical="center"/>
    </xf>
    <xf numFmtId="9" fontId="0" fillId="0" borderId="0" xfId="5" applyFont="1"/>
    <xf numFmtId="0" fontId="20" fillId="0" borderId="11" xfId="0" applyFont="1" applyBorder="1"/>
    <xf numFmtId="164" fontId="19" fillId="29" borderId="11" xfId="2" applyNumberFormat="1" applyFont="1" applyFill="1" applyBorder="1" applyAlignment="1">
      <alignment horizontal="center" wrapText="1"/>
    </xf>
    <xf numFmtId="0" fontId="20" fillId="0" borderId="0" xfId="0" applyFont="1" applyAlignment="1">
      <alignment horizontal="center"/>
    </xf>
    <xf numFmtId="0" fontId="20" fillId="0" borderId="12" xfId="0" applyFont="1" applyBorder="1"/>
    <xf numFmtId="164" fontId="0" fillId="0" borderId="13" xfId="2" applyNumberFormat="1" applyFont="1" applyBorder="1"/>
    <xf numFmtId="0" fontId="20" fillId="0" borderId="14" xfId="0" applyFont="1" applyBorder="1"/>
    <xf numFmtId="164" fontId="0" fillId="0" borderId="15" xfId="2" applyNumberFormat="1" applyFont="1" applyBorder="1"/>
    <xf numFmtId="0" fontId="19" fillId="29" borderId="11" xfId="0" applyFont="1" applyFill="1" applyBorder="1" applyAlignment="1">
      <alignment horizontal="center"/>
    </xf>
    <xf numFmtId="0" fontId="19" fillId="29" borderId="16" xfId="0" applyFont="1" applyFill="1" applyBorder="1" applyAlignment="1">
      <alignment horizontal="center" wrapText="1"/>
    </xf>
    <xf numFmtId="0" fontId="19" fillId="29" borderId="17" xfId="0" applyFont="1" applyFill="1" applyBorder="1" applyAlignment="1">
      <alignment horizontal="center" wrapText="1"/>
    </xf>
    <xf numFmtId="0" fontId="20" fillId="0" borderId="13" xfId="0" applyFont="1" applyBorder="1"/>
    <xf numFmtId="164" fontId="0" fillId="0" borderId="18" xfId="2" applyNumberFormat="1" applyFont="1" applyBorder="1"/>
    <xf numFmtId="10" fontId="0" fillId="0" borderId="19" xfId="5" applyNumberFormat="1" applyFont="1" applyBorder="1"/>
    <xf numFmtId="165" fontId="0" fillId="0" borderId="19" xfId="1" applyNumberFormat="1" applyFont="1" applyBorder="1"/>
    <xf numFmtId="164" fontId="0" fillId="0" borderId="19" xfId="2" applyNumberFormat="1" applyFont="1" applyBorder="1"/>
    <xf numFmtId="164" fontId="0" fillId="0" borderId="19" xfId="0" applyNumberFormat="1" applyBorder="1"/>
    <xf numFmtId="44" fontId="0" fillId="0" borderId="19" xfId="2" applyFont="1" applyBorder="1"/>
    <xf numFmtId="44" fontId="0" fillId="0" borderId="20" xfId="2" applyFont="1" applyBorder="1"/>
    <xf numFmtId="164" fontId="0" fillId="0" borderId="12" xfId="2" applyNumberFormat="1" applyFont="1" applyBorder="1"/>
    <xf numFmtId="10" fontId="0" fillId="0" borderId="0" xfId="5" applyNumberFormat="1" applyFont="1" applyBorder="1"/>
    <xf numFmtId="165" fontId="0" fillId="0" borderId="0" xfId="1" applyNumberFormat="1" applyFont="1" applyBorder="1"/>
    <xf numFmtId="164" fontId="0" fillId="0" borderId="0" xfId="2" applyNumberFormat="1" applyFont="1" applyBorder="1"/>
    <xf numFmtId="164" fontId="0" fillId="0" borderId="0" xfId="0" applyNumberFormat="1" applyBorder="1"/>
    <xf numFmtId="44" fontId="0" fillId="0" borderId="0" xfId="2" applyFont="1" applyBorder="1"/>
    <xf numFmtId="44" fontId="0" fillId="0" borderId="21" xfId="2" applyFont="1" applyBorder="1"/>
    <xf numFmtId="164" fontId="0" fillId="0" borderId="22" xfId="2" applyNumberFormat="1" applyFont="1" applyBorder="1"/>
    <xf numFmtId="10" fontId="0" fillId="0" borderId="16" xfId="5" applyNumberFormat="1" applyFont="1" applyBorder="1"/>
    <xf numFmtId="165" fontId="0" fillId="0" borderId="16" xfId="1" applyNumberFormat="1" applyFont="1" applyBorder="1"/>
    <xf numFmtId="164" fontId="0" fillId="0" borderId="16" xfId="0" applyNumberFormat="1" applyBorder="1"/>
    <xf numFmtId="0" fontId="0" fillId="0" borderId="16" xfId="0" applyBorder="1"/>
    <xf numFmtId="0" fontId="0" fillId="0" borderId="17" xfId="0" applyBorder="1"/>
    <xf numFmtId="0" fontId="20" fillId="0" borderId="0" xfId="0" applyFont="1"/>
    <xf numFmtId="164" fontId="0" fillId="0" borderId="0" xfId="2" applyNumberFormat="1" applyFont="1"/>
    <xf numFmtId="10" fontId="0" fillId="0" borderId="0" xfId="5" applyNumberFormat="1" applyFont="1"/>
    <xf numFmtId="165" fontId="0" fillId="0" borderId="0" xfId="1" applyNumberFormat="1" applyFont="1"/>
    <xf numFmtId="0" fontId="20" fillId="0" borderId="22" xfId="0" applyFont="1" applyBorder="1"/>
    <xf numFmtId="164" fontId="0" fillId="0" borderId="11" xfId="0" applyNumberFormat="1" applyBorder="1"/>
    <xf numFmtId="0" fontId="20" fillId="0" borderId="11" xfId="0" applyFont="1" applyBorder="1" applyAlignment="1">
      <alignment wrapText="1"/>
    </xf>
    <xf numFmtId="44" fontId="0" fillId="30" borderId="16" xfId="0" applyNumberFormat="1" applyFill="1" applyBorder="1"/>
    <xf numFmtId="44" fontId="0" fillId="30" borderId="17" xfId="0" applyNumberFormat="1" applyFill="1" applyBorder="1"/>
    <xf numFmtId="0" fontId="20" fillId="0" borderId="0" xfId="0" applyFont="1" applyBorder="1"/>
    <xf numFmtId="0" fontId="21" fillId="29" borderId="24" xfId="0" applyFont="1" applyFill="1" applyBorder="1" applyAlignment="1">
      <alignment horizontal="center"/>
    </xf>
    <xf numFmtId="0" fontId="21" fillId="29" borderId="25" xfId="0" applyFont="1" applyFill="1" applyBorder="1" applyAlignment="1">
      <alignment horizontal="center"/>
    </xf>
    <xf numFmtId="0" fontId="20" fillId="0" borderId="23" xfId="0" applyFont="1" applyBorder="1"/>
    <xf numFmtId="0" fontId="0" fillId="0" borderId="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0" xfId="0" applyAlignment="1">
      <alignment horizontal="center"/>
    </xf>
    <xf numFmtId="0" fontId="20" fillId="0" borderId="15" xfId="0" applyFont="1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44" fontId="0" fillId="0" borderId="18" xfId="2" applyNumberFormat="1" applyFont="1" applyBorder="1"/>
    <xf numFmtId="44" fontId="0" fillId="0" borderId="19" xfId="2" applyNumberFormat="1" applyFont="1" applyBorder="1"/>
    <xf numFmtId="44" fontId="0" fillId="0" borderId="20" xfId="2" applyNumberFormat="1" applyFont="1" applyBorder="1"/>
    <xf numFmtId="44" fontId="0" fillId="0" borderId="14" xfId="2" applyNumberFormat="1" applyFont="1" applyBorder="1"/>
    <xf numFmtId="44" fontId="0" fillId="0" borderId="24" xfId="2" applyFont="1" applyBorder="1" applyAlignment="1">
      <alignment horizontal="center"/>
    </xf>
    <xf numFmtId="44" fontId="0" fillId="0" borderId="25" xfId="2" applyFont="1" applyBorder="1" applyAlignment="1">
      <alignment horizontal="center"/>
    </xf>
    <xf numFmtId="44" fontId="0" fillId="0" borderId="22" xfId="2" applyNumberFormat="1" applyFont="1" applyBorder="1"/>
    <xf numFmtId="44" fontId="0" fillId="0" borderId="16" xfId="2" applyFont="1" applyBorder="1" applyAlignment="1">
      <alignment horizontal="center"/>
    </xf>
    <xf numFmtId="44" fontId="0" fillId="0" borderId="17" xfId="2" applyFont="1" applyBorder="1" applyAlignment="1">
      <alignment horizontal="center"/>
    </xf>
    <xf numFmtId="44" fontId="0" fillId="0" borderId="16" xfId="2" applyNumberFormat="1" applyFont="1" applyBorder="1"/>
    <xf numFmtId="44" fontId="0" fillId="0" borderId="17" xfId="2" applyNumberFormat="1" applyFont="1" applyBorder="1"/>
    <xf numFmtId="0" fontId="20" fillId="0" borderId="0" xfId="0" applyFont="1" applyBorder="1" applyAlignment="1">
      <alignment wrapText="1"/>
    </xf>
    <xf numFmtId="44" fontId="0" fillId="0" borderId="0" xfId="2" applyNumberFormat="1" applyFont="1" applyBorder="1"/>
    <xf numFmtId="0" fontId="19" fillId="29" borderId="23" xfId="0" applyFont="1" applyFill="1" applyBorder="1" applyAlignment="1">
      <alignment horizontal="center" vertical="center" wrapText="1"/>
    </xf>
    <xf numFmtId="0" fontId="19" fillId="29" borderId="11" xfId="0" applyFont="1" applyFill="1" applyBorder="1" applyAlignment="1">
      <alignment horizontal="center" wrapText="1"/>
    </xf>
    <xf numFmtId="44" fontId="0" fillId="0" borderId="23" xfId="2" applyNumberFormat="1" applyFont="1" applyBorder="1"/>
    <xf numFmtId="44" fontId="0" fillId="0" borderId="13" xfId="2" applyNumberFormat="1" applyFont="1" applyBorder="1"/>
    <xf numFmtId="44" fontId="0" fillId="0" borderId="15" xfId="2" applyNumberFormat="1" applyFont="1" applyBorder="1"/>
    <xf numFmtId="44" fontId="0" fillId="0" borderId="11" xfId="2" applyNumberFormat="1" applyFont="1" applyBorder="1"/>
    <xf numFmtId="0" fontId="20" fillId="31" borderId="0" xfId="0" applyFont="1" applyFill="1"/>
    <xf numFmtId="9" fontId="20" fillId="31" borderId="0" xfId="5" applyFont="1" applyFill="1"/>
    <xf numFmtId="164" fontId="0" fillId="31" borderId="10" xfId="0" applyNumberFormat="1" applyFill="1" applyBorder="1"/>
    <xf numFmtId="164" fontId="20" fillId="31" borderId="10" xfId="0" applyNumberFormat="1" applyFont="1" applyFill="1" applyBorder="1"/>
    <xf numFmtId="0" fontId="20" fillId="0" borderId="10" xfId="0" applyFont="1" applyFill="1" applyBorder="1"/>
    <xf numFmtId="164" fontId="0" fillId="0" borderId="10" xfId="0" applyNumberFormat="1" applyFill="1" applyBorder="1"/>
    <xf numFmtId="0" fontId="0" fillId="0" borderId="0" xfId="0" applyAlignment="1">
      <alignment wrapText="1"/>
    </xf>
    <xf numFmtId="164" fontId="20" fillId="0" borderId="10" xfId="2" applyNumberFormat="1" applyFont="1" applyFill="1" applyBorder="1"/>
    <xf numFmtId="164" fontId="0" fillId="0" borderId="10" xfId="2" applyNumberFormat="1" applyFont="1" applyFill="1" applyBorder="1"/>
    <xf numFmtId="164" fontId="0" fillId="31" borderId="10" xfId="2" applyNumberFormat="1" applyFont="1" applyFill="1" applyBorder="1"/>
    <xf numFmtId="164" fontId="20" fillId="31" borderId="10" xfId="2" applyNumberFormat="1" applyFont="1" applyFill="1" applyBorder="1"/>
    <xf numFmtId="0" fontId="20" fillId="0" borderId="10" xfId="0" applyFont="1" applyFill="1" applyBorder="1" applyAlignment="1">
      <alignment wrapText="1"/>
    </xf>
    <xf numFmtId="0" fontId="20" fillId="31" borderId="10" xfId="0" applyFont="1" applyFill="1" applyBorder="1" applyAlignment="1">
      <alignment wrapText="1"/>
    </xf>
    <xf numFmtId="164" fontId="0" fillId="0" borderId="0" xfId="0" applyNumberFormat="1" applyAlignment="1">
      <alignment wrapText="1"/>
    </xf>
    <xf numFmtId="164" fontId="0" fillId="0" borderId="0" xfId="2" applyNumberFormat="1" applyFont="1" applyAlignment="1">
      <alignment wrapText="1"/>
    </xf>
    <xf numFmtId="0" fontId="25" fillId="2" borderId="0" xfId="3" applyFont="1" applyFill="1" applyBorder="1" applyAlignment="1">
      <alignment vertical="center"/>
    </xf>
    <xf numFmtId="44" fontId="25" fillId="0" borderId="0" xfId="2" applyFont="1" applyFill="1" applyBorder="1" applyAlignment="1">
      <alignment horizontal="right" vertical="center"/>
    </xf>
    <xf numFmtId="0" fontId="0" fillId="32" borderId="0" xfId="0" applyFill="1"/>
    <xf numFmtId="0" fontId="0" fillId="32" borderId="0" xfId="0" applyFill="1" applyAlignment="1">
      <alignment wrapText="1"/>
    </xf>
    <xf numFmtId="9" fontId="0" fillId="0" borderId="0" xfId="5" applyFont="1" applyAlignment="1">
      <alignment wrapText="1"/>
    </xf>
    <xf numFmtId="9" fontId="0" fillId="32" borderId="0" xfId="5" applyFont="1" applyFill="1"/>
    <xf numFmtId="9" fontId="0" fillId="32" borderId="0" xfId="5" applyFont="1" applyFill="1" applyAlignment="1">
      <alignment wrapText="1"/>
    </xf>
    <xf numFmtId="44" fontId="0" fillId="0" borderId="0" xfId="2" applyNumberFormat="1" applyFont="1"/>
    <xf numFmtId="164" fontId="20" fillId="31" borderId="10" xfId="2" applyNumberFormat="1" applyFont="1" applyFill="1" applyBorder="1" applyAlignment="1">
      <alignment horizontal="center" vertical="center" wrapText="1"/>
    </xf>
    <xf numFmtId="0" fontId="20" fillId="31" borderId="10" xfId="0" applyFont="1" applyFill="1" applyBorder="1" applyAlignment="1">
      <alignment horizontal="center" vertical="center" wrapText="1"/>
    </xf>
    <xf numFmtId="0" fontId="20" fillId="31" borderId="10" xfId="0" applyFont="1" applyFill="1" applyBorder="1" applyAlignment="1">
      <alignment horizontal="center" vertical="center"/>
    </xf>
    <xf numFmtId="164" fontId="20" fillId="0" borderId="10" xfId="2" applyNumberFormat="1" applyFont="1" applyBorder="1"/>
    <xf numFmtId="9" fontId="20" fillId="31" borderId="10" xfId="5" applyFont="1" applyFill="1" applyBorder="1"/>
    <xf numFmtId="9" fontId="20" fillId="0" borderId="10" xfId="5" applyFont="1" applyBorder="1"/>
    <xf numFmtId="9" fontId="0" fillId="0" borderId="0" xfId="0" applyNumberFormat="1"/>
    <xf numFmtId="3" fontId="0" fillId="0" borderId="0" xfId="2" applyNumberFormat="1" applyFont="1"/>
    <xf numFmtId="42" fontId="0" fillId="0" borderId="0" xfId="2" applyNumberFormat="1" applyFont="1"/>
    <xf numFmtId="9" fontId="0" fillId="31" borderId="0" xfId="5" applyFont="1" applyFill="1"/>
    <xf numFmtId="164" fontId="0" fillId="31" borderId="0" xfId="2" applyNumberFormat="1" applyFont="1" applyFill="1"/>
    <xf numFmtId="0" fontId="24" fillId="6" borderId="4" xfId="0" applyFont="1" applyFill="1" applyBorder="1" applyAlignment="1">
      <alignment horizontal="left" vertical="center"/>
    </xf>
    <xf numFmtId="168" fontId="25" fillId="0" borderId="1" xfId="2" applyNumberFormat="1" applyFont="1" applyFill="1" applyBorder="1" applyAlignment="1">
      <alignment horizontal="right" vertical="center"/>
    </xf>
    <xf numFmtId="168" fontId="25" fillId="22" borderId="1" xfId="2" applyNumberFormat="1" applyFont="1" applyFill="1" applyBorder="1" applyAlignment="1">
      <alignment horizontal="right" vertical="center"/>
    </xf>
    <xf numFmtId="168" fontId="24" fillId="6" borderId="1" xfId="0" applyNumberFormat="1" applyFont="1" applyFill="1" applyBorder="1" applyAlignment="1">
      <alignment horizontal="right" vertical="center"/>
    </xf>
    <xf numFmtId="168" fontId="26" fillId="2" borderId="9" xfId="0" applyNumberFormat="1" applyFont="1" applyFill="1" applyBorder="1" applyAlignment="1">
      <alignment vertical="center"/>
    </xf>
    <xf numFmtId="168" fontId="24" fillId="8" borderId="4" xfId="0" applyNumberFormat="1" applyFont="1" applyFill="1" applyBorder="1" applyAlignment="1">
      <alignment horizontal="left" vertical="center"/>
    </xf>
    <xf numFmtId="168" fontId="25" fillId="2" borderId="7" xfId="0" applyNumberFormat="1" applyFont="1" applyFill="1" applyBorder="1" applyAlignment="1">
      <alignment vertical="center"/>
    </xf>
    <xf numFmtId="168" fontId="23" fillId="10" borderId="4" xfId="0" applyNumberFormat="1" applyFont="1" applyFill="1" applyBorder="1" applyAlignment="1">
      <alignment horizontal="left" vertical="center"/>
    </xf>
    <xf numFmtId="168" fontId="23" fillId="10" borderId="1" xfId="0" applyNumberFormat="1" applyFont="1" applyFill="1" applyBorder="1" applyAlignment="1">
      <alignment horizontal="right" vertical="center"/>
    </xf>
    <xf numFmtId="168" fontId="23" fillId="12" borderId="4" xfId="0" applyNumberFormat="1" applyFont="1" applyFill="1" applyBorder="1" applyAlignment="1">
      <alignment horizontal="left" vertical="center"/>
    </xf>
    <xf numFmtId="168" fontId="25" fillId="2" borderId="6" xfId="3" applyNumberFormat="1" applyFont="1" applyFill="1" applyBorder="1" applyAlignment="1">
      <alignment vertical="center"/>
    </xf>
    <xf numFmtId="168" fontId="23" fillId="12" borderId="1" xfId="0" applyNumberFormat="1" applyFont="1" applyFill="1" applyBorder="1" applyAlignment="1">
      <alignment horizontal="right" vertical="center"/>
    </xf>
    <xf numFmtId="168" fontId="25" fillId="0" borderId="7" xfId="0" applyNumberFormat="1" applyFont="1" applyBorder="1" applyAlignment="1">
      <alignment vertical="center"/>
    </xf>
    <xf numFmtId="168" fontId="24" fillId="24" borderId="1" xfId="2" applyNumberFormat="1" applyFont="1" applyFill="1" applyBorder="1" applyAlignment="1">
      <alignment horizontal="right" vertical="center"/>
    </xf>
    <xf numFmtId="168" fontId="24" fillId="9" borderId="1" xfId="2" applyNumberFormat="1" applyFont="1" applyFill="1" applyBorder="1" applyAlignment="1">
      <alignment horizontal="right" vertical="center"/>
    </xf>
    <xf numFmtId="168" fontId="26" fillId="0" borderId="7" xfId="0" applyNumberFormat="1" applyFont="1" applyBorder="1" applyAlignment="1">
      <alignment vertical="center"/>
    </xf>
    <xf numFmtId="168" fontId="24" fillId="14" borderId="4" xfId="0" applyNumberFormat="1" applyFont="1" applyFill="1" applyBorder="1" applyAlignment="1">
      <alignment horizontal="left" vertical="center"/>
    </xf>
    <xf numFmtId="168" fontId="25" fillId="22" borderId="6" xfId="1" applyNumberFormat="1" applyFont="1" applyFill="1" applyBorder="1" applyAlignment="1">
      <alignment horizontal="right" vertical="center" wrapText="1"/>
    </xf>
    <xf numFmtId="168" fontId="27" fillId="14" borderId="1" xfId="0" applyNumberFormat="1" applyFont="1" applyFill="1" applyBorder="1" applyAlignment="1">
      <alignment vertical="center"/>
    </xf>
    <xf numFmtId="168" fontId="26" fillId="2" borderId="7" xfId="0" applyNumberFormat="1" applyFont="1" applyFill="1" applyBorder="1" applyAlignment="1">
      <alignment vertical="center"/>
    </xf>
    <xf numFmtId="168" fontId="23" fillId="17" borderId="1" xfId="2" applyNumberFormat="1" applyFont="1" applyFill="1" applyBorder="1" applyAlignment="1">
      <alignment horizontal="right" vertical="center"/>
    </xf>
    <xf numFmtId="168" fontId="23" fillId="10" borderId="1" xfId="0" applyNumberFormat="1" applyFont="1" applyFill="1" applyBorder="1" applyAlignment="1">
      <alignment horizontal="left" vertical="center"/>
    </xf>
    <xf numFmtId="168" fontId="23" fillId="5" borderId="1" xfId="2" applyNumberFormat="1" applyFont="1" applyFill="1" applyBorder="1" applyAlignment="1">
      <alignment horizontal="right" vertical="center"/>
    </xf>
    <xf numFmtId="168" fontId="24" fillId="6" borderId="1" xfId="0" applyNumberFormat="1" applyFont="1" applyFill="1" applyBorder="1" applyAlignment="1">
      <alignment horizontal="left" vertical="center"/>
    </xf>
    <xf numFmtId="168" fontId="25" fillId="2" borderId="1" xfId="3" applyNumberFormat="1" applyFont="1" applyFill="1" applyBorder="1" applyAlignment="1">
      <alignment vertical="center"/>
    </xf>
    <xf numFmtId="168" fontId="24" fillId="6" borderId="1" xfId="2" applyNumberFormat="1" applyFont="1" applyFill="1" applyBorder="1" applyAlignment="1">
      <alignment horizontal="right" vertical="center"/>
    </xf>
    <xf numFmtId="168" fontId="26" fillId="2" borderId="0" xfId="0" applyNumberFormat="1" applyFont="1" applyFill="1" applyBorder="1" applyAlignment="1"/>
    <xf numFmtId="168" fontId="24" fillId="8" borderId="1" xfId="0" applyNumberFormat="1" applyFont="1" applyFill="1" applyBorder="1" applyAlignment="1">
      <alignment horizontal="left" vertical="center"/>
    </xf>
    <xf numFmtId="168" fontId="24" fillId="8" borderId="1" xfId="2" applyNumberFormat="1" applyFont="1" applyFill="1" applyBorder="1" applyAlignment="1">
      <alignment horizontal="right" vertical="center"/>
    </xf>
    <xf numFmtId="168" fontId="27" fillId="14" borderId="1" xfId="2" applyNumberFormat="1" applyFont="1" applyFill="1" applyBorder="1" applyAlignment="1">
      <alignment vertical="center"/>
    </xf>
    <xf numFmtId="168" fontId="27" fillId="20" borderId="1" xfId="0" applyNumberFormat="1" applyFont="1" applyFill="1" applyBorder="1" applyAlignment="1">
      <alignment vertical="center"/>
    </xf>
    <xf numFmtId="168" fontId="25" fillId="2" borderId="0" xfId="3" applyNumberFormat="1" applyFont="1" applyFill="1" applyBorder="1" applyAlignment="1">
      <alignment vertical="center"/>
    </xf>
    <xf numFmtId="168" fontId="27" fillId="20" borderId="1" xfId="2" applyNumberFormat="1" applyFont="1" applyFill="1" applyBorder="1" applyAlignment="1">
      <alignment vertical="center"/>
    </xf>
    <xf numFmtId="168" fontId="24" fillId="21" borderId="1" xfId="0" applyNumberFormat="1" applyFont="1" applyFill="1" applyBorder="1" applyAlignment="1">
      <alignment vertical="center"/>
    </xf>
    <xf numFmtId="168" fontId="24" fillId="26" borderId="1" xfId="0" applyNumberFormat="1" applyFont="1" applyFill="1" applyBorder="1" applyAlignment="1">
      <alignment vertical="center"/>
    </xf>
    <xf numFmtId="168" fontId="24" fillId="27" borderId="0" xfId="0" applyNumberFormat="1" applyFont="1" applyFill="1" applyBorder="1" applyAlignment="1">
      <alignment vertical="center"/>
    </xf>
    <xf numFmtId="9" fontId="0" fillId="0" borderId="0" xfId="0" applyNumberFormat="1" applyAlignment="1">
      <alignment wrapText="1"/>
    </xf>
    <xf numFmtId="169" fontId="0" fillId="0" borderId="0" xfId="5" applyNumberFormat="1" applyFont="1"/>
    <xf numFmtId="0" fontId="0" fillId="0" borderId="10" xfId="0" applyBorder="1"/>
    <xf numFmtId="1" fontId="20" fillId="31" borderId="10" xfId="2" applyNumberFormat="1" applyFont="1" applyFill="1" applyBorder="1" applyAlignment="1">
      <alignment horizontal="center" vertical="center" wrapText="1"/>
    </xf>
    <xf numFmtId="1" fontId="0" fillId="0" borderId="10" xfId="2" applyNumberFormat="1" applyFont="1" applyBorder="1"/>
    <xf numFmtId="44" fontId="0" fillId="0" borderId="0" xfId="2" applyFont="1"/>
    <xf numFmtId="1" fontId="20" fillId="31" borderId="0" xfId="2" applyNumberFormat="1" applyFont="1" applyFill="1" applyBorder="1" applyAlignment="1">
      <alignment horizontal="center" vertical="center" wrapText="1"/>
    </xf>
    <xf numFmtId="164" fontId="20" fillId="0" borderId="0" xfId="2" applyNumberFormat="1" applyFont="1"/>
    <xf numFmtId="9" fontId="0" fillId="0" borderId="10" xfId="5" applyFont="1" applyBorder="1"/>
    <xf numFmtId="1" fontId="0" fillId="0" borderId="10" xfId="0" applyNumberFormat="1" applyBorder="1"/>
    <xf numFmtId="44" fontId="0" fillId="0" borderId="10" xfId="2" applyFont="1" applyBorder="1"/>
    <xf numFmtId="0" fontId="0" fillId="31" borderId="10" xfId="0" applyFill="1" applyBorder="1"/>
    <xf numFmtId="9" fontId="0" fillId="31" borderId="10" xfId="5" applyFont="1" applyFill="1" applyBorder="1"/>
    <xf numFmtId="9" fontId="0" fillId="0" borderId="10" xfId="0" applyNumberFormat="1" applyBorder="1"/>
    <xf numFmtId="0" fontId="24" fillId="14" borderId="4" xfId="0" applyFont="1" applyFill="1" applyBorder="1" applyAlignment="1">
      <alignment horizontal="left" vertical="center"/>
    </xf>
    <xf numFmtId="0" fontId="24" fillId="8" borderId="4" xfId="0" applyFont="1" applyFill="1" applyBorder="1" applyAlignment="1">
      <alignment horizontal="left" vertical="center"/>
    </xf>
    <xf numFmtId="0" fontId="25" fillId="2" borderId="6" xfId="3" applyFont="1" applyFill="1" applyBorder="1" applyAlignment="1">
      <alignment vertical="center"/>
    </xf>
    <xf numFmtId="165" fontId="25" fillId="0" borderId="6" xfId="1" applyNumberFormat="1" applyFont="1" applyFill="1" applyBorder="1" applyAlignment="1">
      <alignment horizontal="right" vertical="center" wrapText="1"/>
    </xf>
    <xf numFmtId="0" fontId="23" fillId="10" borderId="4" xfId="0" applyFont="1" applyFill="1" applyBorder="1" applyAlignment="1">
      <alignment horizontal="left" vertical="center"/>
    </xf>
    <xf numFmtId="0" fontId="23" fillId="12" borderId="4" xfId="0" applyFont="1" applyFill="1" applyBorder="1" applyAlignment="1">
      <alignment horizontal="left" vertical="center"/>
    </xf>
    <xf numFmtId="0" fontId="0" fillId="0" borderId="0" xfId="0"/>
    <xf numFmtId="165" fontId="5" fillId="7" borderId="1" xfId="1" applyNumberFormat="1" applyFont="1" applyFill="1" applyBorder="1" applyAlignment="1">
      <alignment horizontal="right" vertical="center" wrapText="1"/>
    </xf>
    <xf numFmtId="164" fontId="0" fillId="0" borderId="0" xfId="0" applyNumberFormat="1"/>
    <xf numFmtId="0" fontId="22" fillId="0" borderId="0" xfId="0" applyFont="1"/>
    <xf numFmtId="0" fontId="24" fillId="6" borderId="1" xfId="0" applyFont="1" applyFill="1" applyBorder="1" applyAlignment="1">
      <alignment horizontal="left" vertical="center"/>
    </xf>
    <xf numFmtId="0" fontId="25" fillId="2" borderId="1" xfId="3" applyFont="1" applyFill="1" applyBorder="1" applyAlignment="1">
      <alignment vertical="center"/>
    </xf>
    <xf numFmtId="0" fontId="26" fillId="2" borderId="9" xfId="0" applyFont="1" applyFill="1" applyBorder="1" applyAlignment="1">
      <alignment vertical="center"/>
    </xf>
    <xf numFmtId="0" fontId="24" fillId="8" borderId="1" xfId="0" applyFont="1" applyFill="1" applyBorder="1" applyAlignment="1">
      <alignment horizontal="left" vertical="center"/>
    </xf>
    <xf numFmtId="0" fontId="25" fillId="2" borderId="7" xfId="0" applyFont="1" applyFill="1" applyBorder="1" applyAlignment="1">
      <alignment vertical="center"/>
    </xf>
    <xf numFmtId="0" fontId="23" fillId="10" borderId="1" xfId="0" applyFont="1" applyFill="1" applyBorder="1" applyAlignment="1">
      <alignment horizontal="left" vertical="center"/>
    </xf>
    <xf numFmtId="0" fontId="23" fillId="12" borderId="1" xfId="0" applyFont="1" applyFill="1" applyBorder="1" applyAlignment="1">
      <alignment horizontal="left" vertical="center"/>
    </xf>
    <xf numFmtId="0" fontId="25" fillId="0" borderId="7" xfId="0" applyFont="1" applyBorder="1" applyAlignment="1">
      <alignment vertical="center"/>
    </xf>
    <xf numFmtId="0" fontId="24" fillId="23" borderId="1" xfId="0" applyFont="1" applyFill="1" applyBorder="1" applyAlignment="1">
      <alignment horizontal="left" vertical="center"/>
    </xf>
    <xf numFmtId="0" fontId="26" fillId="0" borderId="7" xfId="0" applyFont="1" applyBorder="1" applyAlignment="1">
      <alignment vertical="center"/>
    </xf>
    <xf numFmtId="0" fontId="27" fillId="14" borderId="1" xfId="0" applyFont="1" applyFill="1" applyBorder="1" applyAlignment="1">
      <alignment vertical="center"/>
    </xf>
    <xf numFmtId="0" fontId="26" fillId="2" borderId="7" xfId="0" applyFont="1" applyFill="1" applyBorder="1" applyAlignment="1">
      <alignment vertical="center"/>
    </xf>
    <xf numFmtId="0" fontId="29" fillId="19" borderId="1" xfId="0" applyFont="1" applyFill="1" applyBorder="1" applyAlignment="1">
      <alignment vertical="center"/>
    </xf>
    <xf numFmtId="0" fontId="26" fillId="2" borderId="0" xfId="0" applyFont="1" applyFill="1" applyBorder="1" applyAlignment="1"/>
    <xf numFmtId="0" fontId="27" fillId="20" borderId="1" xfId="0" applyFont="1" applyFill="1" applyBorder="1" applyAlignment="1">
      <alignment vertical="center"/>
    </xf>
    <xf numFmtId="0" fontId="24" fillId="21" borderId="1" xfId="0" applyFont="1" applyFill="1" applyBorder="1" applyAlignment="1">
      <alignment vertical="center"/>
    </xf>
    <xf numFmtId="0" fontId="24" fillId="26" borderId="1" xfId="0" applyFont="1" applyFill="1" applyBorder="1" applyAlignment="1">
      <alignment vertical="center"/>
    </xf>
    <xf numFmtId="0" fontId="24" fillId="27" borderId="0" xfId="0" applyFont="1" applyFill="1" applyBorder="1" applyAlignment="1">
      <alignment vertical="center"/>
    </xf>
    <xf numFmtId="9" fontId="0" fillId="0" borderId="0" xfId="5" applyFont="1"/>
    <xf numFmtId="164" fontId="0" fillId="0" borderId="0" xfId="2" applyNumberFormat="1" applyFont="1"/>
    <xf numFmtId="164" fontId="0" fillId="31" borderId="10" xfId="0" applyNumberFormat="1" applyFill="1" applyBorder="1"/>
    <xf numFmtId="164" fontId="20" fillId="31" borderId="10" xfId="0" applyNumberFormat="1" applyFont="1" applyFill="1" applyBorder="1"/>
    <xf numFmtId="0" fontId="0" fillId="0" borderId="0" xfId="0" applyAlignment="1">
      <alignment wrapText="1"/>
    </xf>
    <xf numFmtId="164" fontId="0" fillId="31" borderId="10" xfId="2" applyNumberFormat="1" applyFont="1" applyFill="1" applyBorder="1"/>
    <xf numFmtId="164" fontId="20" fillId="31" borderId="10" xfId="2" applyNumberFormat="1" applyFont="1" applyFill="1" applyBorder="1"/>
    <xf numFmtId="0" fontId="20" fillId="0" borderId="10" xfId="0" applyFont="1" applyFill="1" applyBorder="1" applyAlignment="1">
      <alignment wrapText="1"/>
    </xf>
    <xf numFmtId="0" fontId="20" fillId="31" borderId="10" xfId="0" applyFont="1" applyFill="1" applyBorder="1" applyAlignment="1">
      <alignment wrapText="1"/>
    </xf>
    <xf numFmtId="164" fontId="0" fillId="0" borderId="0" xfId="0" applyNumberFormat="1" applyAlignment="1">
      <alignment wrapText="1"/>
    </xf>
    <xf numFmtId="164" fontId="0" fillId="0" borderId="0" xfId="2" applyNumberFormat="1" applyFont="1" applyAlignment="1">
      <alignment wrapText="1"/>
    </xf>
    <xf numFmtId="0" fontId="25" fillId="2" borderId="0" xfId="3" applyFont="1" applyFill="1" applyBorder="1" applyAlignment="1">
      <alignment vertical="center"/>
    </xf>
    <xf numFmtId="0" fontId="0" fillId="32" borderId="0" xfId="0" applyFill="1"/>
    <xf numFmtId="0" fontId="0" fillId="32" borderId="0" xfId="0" applyFill="1" applyAlignment="1">
      <alignment wrapText="1"/>
    </xf>
    <xf numFmtId="9" fontId="0" fillId="0" borderId="0" xfId="5" applyFont="1" applyAlignment="1">
      <alignment wrapText="1"/>
    </xf>
    <xf numFmtId="9" fontId="0" fillId="32" borderId="0" xfId="5" applyFont="1" applyFill="1"/>
    <xf numFmtId="9" fontId="0" fillId="32" borderId="0" xfId="5" applyFont="1" applyFill="1" applyAlignment="1">
      <alignment wrapText="1"/>
    </xf>
    <xf numFmtId="44" fontId="0" fillId="0" borderId="0" xfId="2" applyNumberFormat="1" applyFont="1"/>
    <xf numFmtId="164" fontId="20" fillId="31" borderId="10" xfId="2" applyNumberFormat="1" applyFont="1" applyFill="1" applyBorder="1" applyAlignment="1">
      <alignment horizontal="center" vertical="center" wrapText="1"/>
    </xf>
    <xf numFmtId="0" fontId="20" fillId="31" borderId="10" xfId="0" applyFont="1" applyFill="1" applyBorder="1" applyAlignment="1">
      <alignment horizontal="center" vertical="center" wrapText="1"/>
    </xf>
    <xf numFmtId="164" fontId="20" fillId="0" borderId="10" xfId="2" applyNumberFormat="1" applyFont="1" applyBorder="1"/>
    <xf numFmtId="9" fontId="0" fillId="0" borderId="0" xfId="0" applyNumberFormat="1"/>
    <xf numFmtId="3" fontId="0" fillId="0" borderId="0" xfId="2" applyNumberFormat="1" applyFont="1"/>
    <xf numFmtId="42" fontId="0" fillId="0" borderId="0" xfId="2" applyNumberFormat="1" applyFont="1"/>
    <xf numFmtId="9" fontId="0" fillId="31" borderId="0" xfId="5" applyFont="1" applyFill="1"/>
    <xf numFmtId="164" fontId="0" fillId="31" borderId="0" xfId="2" applyNumberFormat="1" applyFont="1" applyFill="1"/>
    <xf numFmtId="0" fontId="24" fillId="6" borderId="4" xfId="0" applyFont="1" applyFill="1" applyBorder="1" applyAlignment="1">
      <alignment horizontal="left" vertical="center"/>
    </xf>
    <xf numFmtId="9" fontId="0" fillId="0" borderId="0" xfId="0" applyNumberFormat="1" applyAlignment="1">
      <alignment wrapText="1"/>
    </xf>
    <xf numFmtId="0" fontId="0" fillId="31" borderId="10" xfId="0" applyFill="1" applyBorder="1"/>
    <xf numFmtId="41" fontId="25" fillId="22" borderId="1" xfId="2" applyNumberFormat="1" applyFont="1" applyFill="1" applyBorder="1" applyAlignment="1">
      <alignment horizontal="right" vertical="center"/>
    </xf>
    <xf numFmtId="165" fontId="25" fillId="22" borderId="6" xfId="1" applyNumberFormat="1" applyFont="1" applyFill="1" applyBorder="1" applyAlignment="1">
      <alignment horizontal="right" vertical="center" wrapText="1"/>
    </xf>
    <xf numFmtId="41" fontId="23" fillId="17" borderId="1" xfId="0" applyNumberFormat="1" applyFont="1" applyFill="1" applyBorder="1" applyAlignment="1">
      <alignment horizontal="right" vertical="center"/>
    </xf>
    <xf numFmtId="37" fontId="0" fillId="31" borderId="10" xfId="0" applyNumberFormat="1" applyFill="1" applyBorder="1"/>
    <xf numFmtId="0" fontId="20" fillId="0" borderId="10" xfId="0" applyFont="1" applyFill="1" applyBorder="1" applyAlignment="1">
      <alignment horizontal="center" wrapText="1"/>
    </xf>
    <xf numFmtId="3" fontId="0" fillId="31" borderId="10" xfId="0" applyNumberFormat="1" applyFill="1" applyBorder="1"/>
    <xf numFmtId="3" fontId="20" fillId="31" borderId="10" xfId="0" applyNumberFormat="1" applyFont="1" applyFill="1" applyBorder="1"/>
    <xf numFmtId="165" fontId="23" fillId="31" borderId="1" xfId="1" applyNumberFormat="1" applyFont="1" applyFill="1" applyBorder="1" applyAlignment="1">
      <alignment vertical="center"/>
    </xf>
    <xf numFmtId="37" fontId="0" fillId="31" borderId="10" xfId="2" applyNumberFormat="1" applyFont="1" applyFill="1" applyBorder="1"/>
    <xf numFmtId="0" fontId="20" fillId="31" borderId="10" xfId="0" applyFont="1" applyFill="1" applyBorder="1"/>
    <xf numFmtId="164" fontId="20" fillId="0" borderId="10" xfId="2" applyNumberFormat="1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0" fontId="35" fillId="0" borderId="0" xfId="6" applyFont="1"/>
    <xf numFmtId="0" fontId="35" fillId="0" borderId="0" xfId="6" applyFont="1" applyAlignment="1">
      <alignment wrapText="1"/>
    </xf>
    <xf numFmtId="0" fontId="35" fillId="0" borderId="26" xfId="6" applyFont="1" applyBorder="1" applyAlignment="1">
      <alignment horizontal="center" vertical="center"/>
    </xf>
    <xf numFmtId="0" fontId="36" fillId="0" borderId="27" xfId="6" applyFont="1" applyBorder="1" applyAlignment="1">
      <alignment horizontal="center" vertical="center" wrapText="1"/>
    </xf>
    <xf numFmtId="0" fontId="36" fillId="0" borderId="27" xfId="6" applyFont="1" applyBorder="1" applyAlignment="1">
      <alignment horizontal="center" vertical="center"/>
    </xf>
    <xf numFmtId="0" fontId="36" fillId="0" borderId="28" xfId="6" applyFont="1" applyFill="1" applyBorder="1" applyAlignment="1">
      <alignment horizontal="center" vertical="center"/>
    </xf>
    <xf numFmtId="0" fontId="37" fillId="0" borderId="29" xfId="6" applyFont="1" applyBorder="1"/>
    <xf numFmtId="164" fontId="37" fillId="0" borderId="30" xfId="7" applyNumberFormat="1" applyFont="1" applyBorder="1"/>
    <xf numFmtId="164" fontId="37" fillId="0" borderId="31" xfId="7" applyNumberFormat="1" applyFont="1" applyBorder="1"/>
    <xf numFmtId="0" fontId="35" fillId="0" borderId="32" xfId="6" applyFont="1" applyBorder="1"/>
    <xf numFmtId="164" fontId="35" fillId="0" borderId="33" xfId="7" applyNumberFormat="1" applyFont="1" applyBorder="1"/>
    <xf numFmtId="164" fontId="35" fillId="0" borderId="34" xfId="7" applyNumberFormat="1" applyFont="1" applyBorder="1"/>
    <xf numFmtId="0" fontId="35" fillId="0" borderId="35" xfId="6" applyFont="1" applyBorder="1"/>
    <xf numFmtId="164" fontId="35" fillId="0" borderId="36" xfId="7" applyNumberFormat="1" applyFont="1" applyBorder="1"/>
    <xf numFmtId="0" fontId="36" fillId="0" borderId="35" xfId="6" applyFont="1" applyBorder="1" applyAlignment="1">
      <alignment vertical="center"/>
    </xf>
    <xf numFmtId="0" fontId="36" fillId="0" borderId="37" xfId="6" applyFont="1" applyBorder="1" applyAlignment="1">
      <alignment vertical="center"/>
    </xf>
    <xf numFmtId="164" fontId="35" fillId="0" borderId="38" xfId="7" applyNumberFormat="1" applyFont="1" applyBorder="1"/>
    <xf numFmtId="164" fontId="35" fillId="0" borderId="39" xfId="7" applyNumberFormat="1" applyFont="1" applyBorder="1"/>
    <xf numFmtId="164" fontId="35" fillId="0" borderId="10" xfId="7" applyNumberFormat="1" applyFont="1" applyBorder="1"/>
    <xf numFmtId="165" fontId="35" fillId="0" borderId="0" xfId="8" applyNumberFormat="1" applyFont="1"/>
    <xf numFmtId="0" fontId="35" fillId="0" borderId="29" xfId="6" applyFont="1" applyBorder="1" applyAlignment="1">
      <alignment horizontal="center" vertical="center"/>
    </xf>
    <xf numFmtId="0" fontId="36" fillId="0" borderId="30" xfId="6" applyFont="1" applyBorder="1" applyAlignment="1">
      <alignment horizontal="center" vertical="center" wrapText="1"/>
    </xf>
    <xf numFmtId="0" fontId="36" fillId="0" borderId="30" xfId="6" applyFont="1" applyBorder="1" applyAlignment="1">
      <alignment horizontal="center" vertical="center"/>
    </xf>
    <xf numFmtId="0" fontId="36" fillId="0" borderId="31" xfId="6" applyFont="1" applyFill="1" applyBorder="1" applyAlignment="1">
      <alignment horizontal="center" vertical="center"/>
    </xf>
    <xf numFmtId="165" fontId="35" fillId="0" borderId="33" xfId="8" applyNumberFormat="1" applyFont="1" applyBorder="1"/>
    <xf numFmtId="165" fontId="35" fillId="0" borderId="34" xfId="8" applyNumberFormat="1" applyFont="1" applyBorder="1"/>
    <xf numFmtId="165" fontId="35" fillId="0" borderId="36" xfId="8" applyNumberFormat="1" applyFont="1" applyBorder="1"/>
    <xf numFmtId="165" fontId="35" fillId="0" borderId="38" xfId="8" applyNumberFormat="1" applyFont="1" applyBorder="1"/>
    <xf numFmtId="165" fontId="35" fillId="0" borderId="39" xfId="8" applyNumberFormat="1" applyFont="1" applyBorder="1"/>
    <xf numFmtId="165" fontId="36" fillId="0" borderId="31" xfId="8" applyNumberFormat="1" applyFont="1" applyFill="1" applyBorder="1" applyAlignment="1">
      <alignment horizontal="center" vertical="center"/>
    </xf>
    <xf numFmtId="165" fontId="35" fillId="0" borderId="10" xfId="8" applyNumberFormat="1" applyFont="1" applyBorder="1"/>
    <xf numFmtId="0" fontId="38" fillId="31" borderId="0" xfId="6" applyFont="1" applyFill="1"/>
    <xf numFmtId="0" fontId="35" fillId="31" borderId="0" xfId="6" applyFont="1" applyFill="1"/>
    <xf numFmtId="0" fontId="39" fillId="0" borderId="0" xfId="9" applyFont="1"/>
    <xf numFmtId="0" fontId="40" fillId="2" borderId="0" xfId="10" applyFont="1" applyFill="1"/>
    <xf numFmtId="0" fontId="7" fillId="0" borderId="0" xfId="6" applyFont="1"/>
    <xf numFmtId="0" fontId="39" fillId="2" borderId="0" xfId="10" applyFont="1" applyFill="1" applyBorder="1"/>
    <xf numFmtId="0" fontId="40" fillId="2" borderId="0" xfId="10" applyFont="1" applyFill="1" applyBorder="1" applyAlignment="1"/>
    <xf numFmtId="0" fontId="42" fillId="2" borderId="0" xfId="10" applyFont="1" applyFill="1" applyBorder="1" applyAlignment="1"/>
    <xf numFmtId="0" fontId="39" fillId="0" borderId="29" xfId="10" applyFont="1" applyFill="1" applyBorder="1" applyAlignment="1">
      <alignment horizontal="center" vertical="center" wrapText="1"/>
    </xf>
    <xf numFmtId="0" fontId="39" fillId="0" borderId="43" xfId="12" applyFont="1" applyFill="1" applyBorder="1" applyAlignment="1" applyProtection="1">
      <alignment horizontal="center" vertical="center" wrapText="1"/>
    </xf>
    <xf numFmtId="164" fontId="39" fillId="0" borderId="35" xfId="11" applyNumberFormat="1" applyFont="1" applyFill="1" applyBorder="1" applyAlignment="1" applyProtection="1">
      <alignment horizontal="center" vertical="center" wrapText="1"/>
      <protection locked="0"/>
    </xf>
    <xf numFmtId="164" fontId="39" fillId="0" borderId="10" xfId="11" applyNumberFormat="1" applyFont="1" applyFill="1" applyBorder="1" applyAlignment="1" applyProtection="1">
      <alignment horizontal="center" vertical="center" wrapText="1"/>
      <protection locked="0"/>
    </xf>
    <xf numFmtId="164" fontId="39" fillId="0" borderId="36" xfId="11" applyNumberFormat="1" applyFont="1" applyFill="1" applyBorder="1" applyAlignment="1" applyProtection="1">
      <alignment horizontal="center" vertical="center" wrapText="1"/>
      <protection locked="0"/>
    </xf>
    <xf numFmtId="0" fontId="39" fillId="0" borderId="44" xfId="10" applyFont="1" applyFill="1" applyBorder="1" applyAlignment="1">
      <alignment horizontal="center" vertical="center" wrapText="1"/>
    </xf>
    <xf numFmtId="0" fontId="39" fillId="0" borderId="30" xfId="10" applyFont="1" applyFill="1" applyBorder="1" applyAlignment="1">
      <alignment horizontal="center" vertical="center" wrapText="1"/>
    </xf>
    <xf numFmtId="0" fontId="39" fillId="0" borderId="31" xfId="10" applyFont="1" applyFill="1" applyBorder="1" applyAlignment="1">
      <alignment horizontal="center" vertical="center" wrapText="1"/>
    </xf>
    <xf numFmtId="164" fontId="39" fillId="33" borderId="32" xfId="11" applyNumberFormat="1" applyFont="1" applyFill="1" applyBorder="1" applyAlignment="1">
      <alignment horizontal="left"/>
    </xf>
    <xf numFmtId="164" fontId="39" fillId="33" borderId="45" xfId="11" applyNumberFormat="1" applyFont="1" applyFill="1" applyBorder="1" applyAlignment="1">
      <alignment horizontal="left"/>
    </xf>
    <xf numFmtId="164" fontId="39" fillId="33" borderId="35" xfId="11" applyNumberFormat="1" applyFont="1" applyFill="1" applyBorder="1" applyAlignment="1">
      <alignment horizontal="center"/>
    </xf>
    <xf numFmtId="164" fontId="39" fillId="33" borderId="10" xfId="11" applyNumberFormat="1" applyFont="1" applyFill="1" applyBorder="1" applyAlignment="1">
      <alignment horizontal="center"/>
    </xf>
    <xf numFmtId="164" fontId="39" fillId="33" borderId="36" xfId="11" applyNumberFormat="1" applyFont="1" applyFill="1" applyBorder="1" applyAlignment="1">
      <alignment horizontal="center"/>
    </xf>
    <xf numFmtId="164" fontId="39" fillId="33" borderId="46" xfId="11" applyNumberFormat="1" applyFont="1" applyFill="1" applyBorder="1" applyAlignment="1">
      <alignment horizontal="left"/>
    </xf>
    <xf numFmtId="164" fontId="39" fillId="33" borderId="33" xfId="11" applyNumberFormat="1" applyFont="1" applyFill="1" applyBorder="1" applyAlignment="1">
      <alignment horizontal="left"/>
    </xf>
    <xf numFmtId="164" fontId="39" fillId="33" borderId="33" xfId="11" applyNumberFormat="1" applyFont="1" applyFill="1" applyBorder="1" applyAlignment="1">
      <alignment horizontal="center"/>
    </xf>
    <xf numFmtId="164" fontId="39" fillId="33" borderId="34" xfId="11" applyNumberFormat="1" applyFont="1" applyFill="1" applyBorder="1" applyAlignment="1">
      <alignment horizontal="left"/>
    </xf>
    <xf numFmtId="164" fontId="40" fillId="0" borderId="35" xfId="11" applyNumberFormat="1" applyFont="1" applyFill="1" applyBorder="1" applyAlignment="1">
      <alignment horizontal="left" indent="1"/>
    </xf>
    <xf numFmtId="164" fontId="40" fillId="0" borderId="47" xfId="11" applyNumberFormat="1" applyFont="1" applyFill="1" applyBorder="1" applyAlignment="1">
      <alignment horizontal="left" indent="1"/>
    </xf>
    <xf numFmtId="164" fontId="40" fillId="2" borderId="35" xfId="11" applyNumberFormat="1" applyFont="1" applyFill="1" applyBorder="1" applyAlignment="1">
      <alignment horizontal="center"/>
    </xf>
    <xf numFmtId="164" fontId="40" fillId="0" borderId="10" xfId="7" applyNumberFormat="1" applyFont="1" applyBorder="1"/>
    <xf numFmtId="164" fontId="40" fillId="2" borderId="10" xfId="11" applyNumberFormat="1" applyFont="1" applyFill="1" applyBorder="1" applyAlignment="1">
      <alignment horizontal="center"/>
    </xf>
    <xf numFmtId="164" fontId="40" fillId="2" borderId="36" xfId="11" applyNumberFormat="1" applyFont="1" applyFill="1" applyBorder="1" applyAlignment="1">
      <alignment horizontal="center"/>
    </xf>
    <xf numFmtId="164" fontId="40" fillId="2" borderId="48" xfId="11" applyNumberFormat="1" applyFont="1" applyFill="1" applyBorder="1" applyAlignment="1">
      <alignment horizontal="left"/>
    </xf>
    <xf numFmtId="164" fontId="40" fillId="2" borderId="10" xfId="11" applyNumberFormat="1" applyFont="1" applyFill="1" applyBorder="1" applyAlignment="1">
      <alignment horizontal="left"/>
    </xf>
    <xf numFmtId="164" fontId="40" fillId="2" borderId="36" xfId="11" applyNumberFormat="1" applyFont="1" applyFill="1" applyBorder="1" applyAlignment="1">
      <alignment horizontal="left"/>
    </xf>
    <xf numFmtId="164" fontId="40" fillId="0" borderId="35" xfId="11" applyNumberFormat="1" applyFont="1" applyFill="1" applyBorder="1" applyAlignment="1">
      <alignment horizontal="center"/>
    </xf>
    <xf numFmtId="164" fontId="40" fillId="0" borderId="10" xfId="11" applyNumberFormat="1" applyFont="1" applyFill="1" applyBorder="1" applyAlignment="1">
      <alignment horizontal="center"/>
    </xf>
    <xf numFmtId="164" fontId="40" fillId="0" borderId="36" xfId="11" applyNumberFormat="1" applyFont="1" applyFill="1" applyBorder="1" applyAlignment="1">
      <alignment horizontal="center"/>
    </xf>
    <xf numFmtId="164" fontId="40" fillId="0" borderId="49" xfId="11" applyNumberFormat="1" applyFont="1" applyFill="1" applyBorder="1" applyAlignment="1">
      <alignment horizontal="left" indent="1"/>
    </xf>
    <xf numFmtId="164" fontId="40" fillId="2" borderId="35" xfId="11" applyNumberFormat="1" applyFont="1" applyFill="1" applyBorder="1"/>
    <xf numFmtId="164" fontId="39" fillId="33" borderId="35" xfId="11" applyNumberFormat="1" applyFont="1" applyFill="1" applyBorder="1" applyAlignment="1">
      <alignment horizontal="left"/>
    </xf>
    <xf numFmtId="164" fontId="39" fillId="33" borderId="47" xfId="11" applyNumberFormat="1" applyFont="1" applyFill="1" applyBorder="1" applyAlignment="1">
      <alignment horizontal="left"/>
    </xf>
    <xf numFmtId="164" fontId="39" fillId="33" borderId="48" xfId="11" applyNumberFormat="1" applyFont="1" applyFill="1" applyBorder="1" applyAlignment="1">
      <alignment horizontal="left"/>
    </xf>
    <xf numFmtId="164" fontId="39" fillId="33" borderId="10" xfId="11" applyNumberFormat="1" applyFont="1" applyFill="1" applyBorder="1" applyAlignment="1">
      <alignment horizontal="left"/>
    </xf>
    <xf numFmtId="164" fontId="39" fillId="33" borderId="36" xfId="11" applyNumberFormat="1" applyFont="1" applyFill="1" applyBorder="1" applyAlignment="1">
      <alignment horizontal="left"/>
    </xf>
    <xf numFmtId="164" fontId="40" fillId="0" borderId="47" xfId="11" applyNumberFormat="1" applyFont="1" applyFill="1" applyBorder="1" applyAlignment="1">
      <alignment horizontal="left" wrapText="1" indent="1"/>
    </xf>
    <xf numFmtId="164" fontId="40" fillId="2" borderId="36" xfId="10" applyNumberFormat="1" applyFont="1" applyFill="1" applyBorder="1" applyAlignment="1"/>
    <xf numFmtId="164" fontId="40" fillId="2" borderId="10" xfId="10" applyNumberFormat="1" applyFont="1" applyFill="1" applyBorder="1" applyAlignment="1"/>
    <xf numFmtId="164" fontId="40" fillId="33" borderId="10" xfId="11" applyNumberFormat="1" applyFont="1" applyFill="1" applyBorder="1" applyAlignment="1">
      <alignment horizontal="left"/>
    </xf>
    <xf numFmtId="164" fontId="40" fillId="0" borderId="47" xfId="11" applyNumberFormat="1" applyFont="1" applyFill="1" applyBorder="1" applyAlignment="1">
      <alignment horizontal="left"/>
    </xf>
    <xf numFmtId="164" fontId="40" fillId="2" borderId="36" xfId="11" applyNumberFormat="1" applyFont="1" applyFill="1" applyBorder="1" applyAlignment="1">
      <alignment horizontal="center" vertical="center"/>
    </xf>
    <xf numFmtId="164" fontId="40" fillId="0" borderId="36" xfId="11" applyNumberFormat="1" applyFont="1" applyFill="1" applyBorder="1" applyAlignment="1">
      <alignment horizontal="center" vertical="center"/>
    </xf>
    <xf numFmtId="164" fontId="40" fillId="0" borderId="35" xfId="11" applyNumberFormat="1" applyFont="1" applyFill="1" applyBorder="1"/>
    <xf numFmtId="43" fontId="39" fillId="33" borderId="10" xfId="13" applyFont="1" applyFill="1" applyBorder="1" applyAlignment="1">
      <alignment horizontal="center"/>
    </xf>
    <xf numFmtId="164" fontId="40" fillId="33" borderId="35" xfId="11" applyNumberFormat="1" applyFont="1" applyFill="1" applyBorder="1" applyAlignment="1">
      <alignment horizontal="left"/>
    </xf>
    <xf numFmtId="164" fontId="39" fillId="0" borderId="35" xfId="11" applyNumberFormat="1" applyFont="1" applyFill="1" applyBorder="1" applyAlignment="1">
      <alignment horizontal="left" indent="1"/>
    </xf>
    <xf numFmtId="164" fontId="40" fillId="0" borderId="48" xfId="11" applyNumberFormat="1" applyFont="1" applyFill="1" applyBorder="1" applyAlignment="1">
      <alignment horizontal="left"/>
    </xf>
    <xf numFmtId="164" fontId="40" fillId="0" borderId="10" xfId="11" applyNumberFormat="1" applyFont="1" applyFill="1" applyBorder="1" applyAlignment="1">
      <alignment horizontal="left"/>
    </xf>
    <xf numFmtId="164" fontId="40" fillId="0" borderId="36" xfId="11" applyNumberFormat="1" applyFont="1" applyFill="1" applyBorder="1" applyAlignment="1">
      <alignment horizontal="left"/>
    </xf>
    <xf numFmtId="164" fontId="40" fillId="0" borderId="35" xfId="11" applyNumberFormat="1" applyFont="1" applyFill="1" applyBorder="1" applyAlignment="1">
      <alignment horizontal="left"/>
    </xf>
    <xf numFmtId="164" fontId="39" fillId="0" borderId="47" xfId="11" applyNumberFormat="1" applyFont="1" applyFill="1" applyBorder="1" applyAlignment="1">
      <alignment horizontal="left"/>
    </xf>
    <xf numFmtId="43" fontId="39" fillId="0" borderId="10" xfId="13" applyFont="1" applyFill="1" applyBorder="1" applyAlignment="1">
      <alignment horizontal="center" wrapText="1"/>
    </xf>
    <xf numFmtId="164" fontId="40" fillId="34" borderId="35" xfId="11" applyNumberFormat="1" applyFont="1" applyFill="1" applyBorder="1" applyAlignment="1">
      <alignment horizontal="left" vertical="center"/>
    </xf>
    <xf numFmtId="164" fontId="39" fillId="34" borderId="47" xfId="11" applyNumberFormat="1" applyFont="1" applyFill="1" applyBorder="1" applyAlignment="1">
      <alignment horizontal="right" vertical="center"/>
    </xf>
    <xf numFmtId="164" fontId="39" fillId="34" borderId="35" xfId="11" applyNumberFormat="1" applyFont="1" applyFill="1" applyBorder="1" applyAlignment="1">
      <alignment horizontal="right" vertical="center"/>
    </xf>
    <xf numFmtId="164" fontId="39" fillId="34" borderId="10" xfId="11" applyNumberFormat="1" applyFont="1" applyFill="1" applyBorder="1" applyAlignment="1">
      <alignment horizontal="right" vertical="center"/>
    </xf>
    <xf numFmtId="164" fontId="39" fillId="34" borderId="50" xfId="11" applyNumberFormat="1" applyFont="1" applyFill="1" applyBorder="1" applyAlignment="1">
      <alignment horizontal="right" vertical="center"/>
    </xf>
    <xf numFmtId="43" fontId="39" fillId="34" borderId="10" xfId="13" applyFont="1" applyFill="1" applyBorder="1" applyAlignment="1">
      <alignment horizontal="left" vertical="center"/>
    </xf>
    <xf numFmtId="164" fontId="39" fillId="34" borderId="36" xfId="11" applyNumberFormat="1" applyFont="1" applyFill="1" applyBorder="1" applyAlignment="1">
      <alignment horizontal="right" vertical="center"/>
    </xf>
    <xf numFmtId="164" fontId="40" fillId="33" borderId="48" xfId="11" applyNumberFormat="1" applyFont="1" applyFill="1" applyBorder="1" applyAlignment="1">
      <alignment horizontal="left"/>
    </xf>
    <xf numFmtId="43" fontId="39" fillId="33" borderId="10" xfId="13" applyFont="1" applyFill="1" applyBorder="1" applyAlignment="1">
      <alignment horizontal="left"/>
    </xf>
    <xf numFmtId="164" fontId="40" fillId="33" borderId="36" xfId="11" applyNumberFormat="1" applyFont="1" applyFill="1" applyBorder="1" applyAlignment="1">
      <alignment horizontal="left"/>
    </xf>
    <xf numFmtId="164" fontId="39" fillId="0" borderId="35" xfId="11" applyNumberFormat="1" applyFont="1" applyFill="1" applyBorder="1" applyAlignment="1">
      <alignment horizontal="center"/>
    </xf>
    <xf numFmtId="164" fontId="39" fillId="0" borderId="10" xfId="11" applyNumberFormat="1" applyFont="1" applyFill="1" applyBorder="1" applyAlignment="1">
      <alignment horizontal="center"/>
    </xf>
    <xf numFmtId="164" fontId="39" fillId="0" borderId="36" xfId="11" applyNumberFormat="1" applyFont="1" applyFill="1" applyBorder="1" applyAlignment="1">
      <alignment horizontal="center"/>
    </xf>
    <xf numFmtId="164" fontId="40" fillId="0" borderId="47" xfId="11" applyNumberFormat="1" applyFont="1" applyFill="1" applyBorder="1" applyAlignment="1">
      <alignment horizontal="center"/>
    </xf>
    <xf numFmtId="164" fontId="40" fillId="0" borderId="50" xfId="11" applyNumberFormat="1" applyFont="1" applyFill="1" applyBorder="1" applyAlignment="1">
      <alignment horizontal="left"/>
    </xf>
    <xf numFmtId="43" fontId="39" fillId="0" borderId="10" xfId="13" applyFont="1" applyFill="1" applyBorder="1" applyAlignment="1">
      <alignment horizontal="left"/>
    </xf>
    <xf numFmtId="0" fontId="7" fillId="0" borderId="0" xfId="6" applyFont="1" applyFill="1"/>
    <xf numFmtId="164" fontId="40" fillId="2" borderId="35" xfId="11" applyNumberFormat="1" applyFont="1" applyFill="1" applyBorder="1" applyAlignment="1">
      <alignment horizontal="right" vertical="center"/>
    </xf>
    <xf numFmtId="164" fontId="39" fillId="2" borderId="47" xfId="11" applyNumberFormat="1" applyFont="1" applyFill="1" applyBorder="1" applyAlignment="1">
      <alignment horizontal="right" vertical="center" wrapText="1"/>
    </xf>
    <xf numFmtId="0" fontId="7" fillId="0" borderId="35" xfId="6" applyFont="1" applyBorder="1"/>
    <xf numFmtId="0" fontId="7" fillId="0" borderId="10" xfId="6" applyFont="1" applyBorder="1"/>
    <xf numFmtId="0" fontId="7" fillId="0" borderId="36" xfId="6" applyFont="1" applyBorder="1"/>
    <xf numFmtId="0" fontId="40" fillId="0" borderId="10" xfId="6" applyFont="1" applyBorder="1"/>
    <xf numFmtId="0" fontId="40" fillId="0" borderId="36" xfId="6" applyFont="1" applyBorder="1"/>
    <xf numFmtId="164" fontId="39" fillId="0" borderId="47" xfId="11" applyNumberFormat="1" applyFont="1" applyFill="1" applyBorder="1"/>
    <xf numFmtId="164" fontId="39" fillId="0" borderId="48" xfId="11" applyNumberFormat="1" applyFont="1" applyFill="1" applyBorder="1" applyAlignment="1">
      <alignment horizontal="left"/>
    </xf>
    <xf numFmtId="164" fontId="39" fillId="0" borderId="10" xfId="11" applyNumberFormat="1" applyFont="1" applyFill="1" applyBorder="1" applyAlignment="1">
      <alignment horizontal="left"/>
    </xf>
    <xf numFmtId="164" fontId="39" fillId="0" borderId="36" xfId="11" applyNumberFormat="1" applyFont="1" applyFill="1" applyBorder="1" applyAlignment="1">
      <alignment horizontal="left"/>
    </xf>
    <xf numFmtId="164" fontId="40" fillId="34" borderId="37" xfId="11" applyNumberFormat="1" applyFont="1" applyFill="1" applyBorder="1" applyAlignment="1">
      <alignment horizontal="left" vertical="center"/>
    </xf>
    <xf numFmtId="164" fontId="39" fillId="34" borderId="51" xfId="11" applyNumberFormat="1" applyFont="1" applyFill="1" applyBorder="1" applyAlignment="1">
      <alignment horizontal="right" vertical="center"/>
    </xf>
    <xf numFmtId="164" fontId="39" fillId="34" borderId="37" xfId="11" applyNumberFormat="1" applyFont="1" applyFill="1" applyBorder="1" applyAlignment="1">
      <alignment horizontal="right" vertical="center"/>
    </xf>
    <xf numFmtId="164" fontId="39" fillId="34" borderId="38" xfId="11" applyNumberFormat="1" applyFont="1" applyFill="1" applyBorder="1" applyAlignment="1">
      <alignment horizontal="right" vertical="center"/>
    </xf>
    <xf numFmtId="164" fontId="39" fillId="34" borderId="39" xfId="11" applyNumberFormat="1" applyFont="1" applyFill="1" applyBorder="1" applyAlignment="1">
      <alignment horizontal="right" vertical="center"/>
    </xf>
    <xf numFmtId="164" fontId="39" fillId="34" borderId="52" xfId="11" applyNumberFormat="1" applyFont="1" applyFill="1" applyBorder="1" applyAlignment="1">
      <alignment horizontal="right" vertical="center"/>
    </xf>
    <xf numFmtId="0" fontId="40" fillId="0" borderId="0" xfId="6" applyFont="1"/>
    <xf numFmtId="164" fontId="40" fillId="0" borderId="40" xfId="11" applyNumberFormat="1" applyFont="1" applyFill="1" applyBorder="1" applyAlignment="1">
      <alignment horizontal="left" indent="1"/>
    </xf>
    <xf numFmtId="164" fontId="39" fillId="33" borderId="53" xfId="11" applyNumberFormat="1" applyFont="1" applyFill="1" applyBorder="1" applyAlignment="1">
      <alignment horizontal="left"/>
    </xf>
    <xf numFmtId="164" fontId="39" fillId="33" borderId="40" xfId="11" applyNumberFormat="1" applyFont="1" applyFill="1" applyBorder="1" applyAlignment="1">
      <alignment horizontal="center"/>
    </xf>
    <xf numFmtId="164" fontId="39" fillId="33" borderId="41" xfId="11" applyNumberFormat="1" applyFont="1" applyFill="1" applyBorder="1" applyAlignment="1">
      <alignment horizontal="center"/>
    </xf>
    <xf numFmtId="164" fontId="39" fillId="33" borderId="42" xfId="11" applyNumberFormat="1" applyFont="1" applyFill="1" applyBorder="1" applyAlignment="1">
      <alignment horizontal="center"/>
    </xf>
    <xf numFmtId="164" fontId="39" fillId="33" borderId="54" xfId="11" applyNumberFormat="1" applyFont="1" applyFill="1" applyBorder="1" applyAlignment="1">
      <alignment horizontal="left"/>
    </xf>
    <xf numFmtId="164" fontId="39" fillId="33" borderId="41" xfId="11" applyNumberFormat="1" applyFont="1" applyFill="1" applyBorder="1" applyAlignment="1">
      <alignment horizontal="left"/>
    </xf>
    <xf numFmtId="43" fontId="39" fillId="33" borderId="41" xfId="13" applyFont="1" applyFill="1" applyBorder="1" applyAlignment="1">
      <alignment horizontal="center"/>
    </xf>
    <xf numFmtId="164" fontId="39" fillId="33" borderId="42" xfId="11" applyNumberFormat="1" applyFont="1" applyFill="1" applyBorder="1" applyAlignment="1">
      <alignment horizontal="left"/>
    </xf>
    <xf numFmtId="164" fontId="39" fillId="0" borderId="37" xfId="11" applyNumberFormat="1" applyFont="1" applyFill="1" applyBorder="1" applyAlignment="1">
      <alignment horizontal="left" indent="1"/>
    </xf>
    <xf numFmtId="164" fontId="40" fillId="0" borderId="51" xfId="11" applyNumberFormat="1" applyFont="1" applyFill="1" applyBorder="1" applyAlignment="1">
      <alignment horizontal="left" wrapText="1" indent="1"/>
    </xf>
    <xf numFmtId="164" fontId="40" fillId="2" borderId="37" xfId="11" applyNumberFormat="1" applyFont="1" applyFill="1" applyBorder="1" applyAlignment="1">
      <alignment horizontal="center"/>
    </xf>
    <xf numFmtId="164" fontId="40" fillId="0" borderId="38" xfId="11" applyNumberFormat="1" applyFont="1" applyFill="1" applyBorder="1" applyAlignment="1">
      <alignment horizontal="center"/>
    </xf>
    <xf numFmtId="164" fontId="40" fillId="0" borderId="39" xfId="11" applyNumberFormat="1" applyFont="1" applyFill="1" applyBorder="1" applyAlignment="1">
      <alignment horizontal="center"/>
    </xf>
    <xf numFmtId="164" fontId="40" fillId="2" borderId="38" xfId="11" applyNumberFormat="1" applyFont="1" applyFill="1" applyBorder="1" applyAlignment="1">
      <alignment horizontal="center"/>
    </xf>
    <xf numFmtId="164" fontId="40" fillId="2" borderId="39" xfId="11" applyNumberFormat="1" applyFont="1" applyFill="1" applyBorder="1" applyAlignment="1">
      <alignment horizontal="center"/>
    </xf>
    <xf numFmtId="164" fontId="40" fillId="0" borderId="55" xfId="11" applyNumberFormat="1" applyFont="1" applyFill="1" applyBorder="1" applyAlignment="1">
      <alignment horizontal="left"/>
    </xf>
    <xf numFmtId="164" fontId="40" fillId="0" borderId="38" xfId="11" applyNumberFormat="1" applyFont="1" applyFill="1" applyBorder="1" applyAlignment="1">
      <alignment horizontal="left"/>
    </xf>
    <xf numFmtId="164" fontId="40" fillId="0" borderId="39" xfId="11" applyNumberFormat="1" applyFont="1" applyFill="1" applyBorder="1" applyAlignment="1">
      <alignment horizontal="left"/>
    </xf>
    <xf numFmtId="164" fontId="40" fillId="0" borderId="0" xfId="6" applyNumberFormat="1" applyFont="1"/>
    <xf numFmtId="44" fontId="40" fillId="0" borderId="0" xfId="6" applyNumberFormat="1" applyFont="1"/>
    <xf numFmtId="164" fontId="7" fillId="0" borderId="0" xfId="6" applyNumberFormat="1" applyFont="1"/>
    <xf numFmtId="0" fontId="40" fillId="2" borderId="56" xfId="10" applyFont="1" applyFill="1" applyBorder="1"/>
    <xf numFmtId="0" fontId="40" fillId="2" borderId="0" xfId="10" applyFont="1" applyFill="1" applyBorder="1"/>
    <xf numFmtId="165" fontId="41" fillId="2" borderId="57" xfId="14" applyNumberFormat="1" applyFont="1" applyFill="1" applyBorder="1"/>
    <xf numFmtId="165" fontId="41" fillId="2" borderId="58" xfId="14" applyNumberFormat="1" applyFont="1" applyFill="1" applyBorder="1"/>
    <xf numFmtId="165" fontId="41" fillId="2" borderId="58" xfId="15" applyNumberFormat="1" applyFont="1" applyFill="1" applyBorder="1"/>
    <xf numFmtId="10" fontId="41" fillId="2" borderId="58" xfId="16" applyNumberFormat="1" applyFont="1" applyFill="1" applyBorder="1" applyAlignment="1">
      <alignment horizontal="right"/>
    </xf>
    <xf numFmtId="43" fontId="41" fillId="2" borderId="58" xfId="15" applyFont="1" applyFill="1" applyBorder="1"/>
    <xf numFmtId="0" fontId="40" fillId="2" borderId="58" xfId="10" applyFont="1" applyFill="1" applyBorder="1"/>
    <xf numFmtId="0" fontId="40" fillId="2" borderId="59" xfId="10" applyFont="1" applyFill="1" applyBorder="1"/>
    <xf numFmtId="0" fontId="39" fillId="0" borderId="0" xfId="10" applyFont="1" applyFill="1" applyBorder="1"/>
    <xf numFmtId="0" fontId="40" fillId="2" borderId="9" xfId="10" applyFont="1" applyFill="1" applyBorder="1"/>
    <xf numFmtId="165" fontId="41" fillId="2" borderId="0" xfId="14" applyNumberFormat="1" applyFont="1" applyFill="1" applyBorder="1"/>
    <xf numFmtId="165" fontId="41" fillId="2" borderId="0" xfId="15" applyNumberFormat="1" applyFont="1" applyFill="1" applyBorder="1"/>
    <xf numFmtId="10" fontId="41" fillId="2" borderId="0" xfId="16" applyNumberFormat="1" applyFont="1" applyFill="1" applyBorder="1" applyAlignment="1">
      <alignment horizontal="right"/>
    </xf>
    <xf numFmtId="43" fontId="41" fillId="2" borderId="0" xfId="15" applyFont="1" applyFill="1" applyBorder="1"/>
    <xf numFmtId="0" fontId="44" fillId="0" borderId="0" xfId="9" applyFont="1" applyBorder="1"/>
    <xf numFmtId="10" fontId="41" fillId="2" borderId="19" xfId="16" applyNumberFormat="1" applyFont="1" applyFill="1" applyBorder="1" applyAlignment="1">
      <alignment horizontal="right"/>
    </xf>
    <xf numFmtId="165" fontId="41" fillId="2" borderId="19" xfId="15" applyNumberFormat="1" applyFont="1" applyFill="1" applyBorder="1"/>
    <xf numFmtId="43" fontId="41" fillId="2" borderId="18" xfId="15" applyFont="1" applyFill="1" applyBorder="1"/>
    <xf numFmtId="43" fontId="41" fillId="2" borderId="20" xfId="15" applyFont="1" applyFill="1" applyBorder="1"/>
    <xf numFmtId="0" fontId="40" fillId="2" borderId="0" xfId="10" applyFont="1" applyFill="1" applyBorder="1" applyAlignment="1">
      <alignment horizontal="center" vertical="center"/>
    </xf>
    <xf numFmtId="0" fontId="39" fillId="0" borderId="40" xfId="10" applyFont="1" applyFill="1" applyBorder="1" applyAlignment="1">
      <alignment horizontal="center" vertical="center" wrapText="1"/>
    </xf>
    <xf numFmtId="0" fontId="39" fillId="2" borderId="53" xfId="12" applyFont="1" applyFill="1" applyBorder="1" applyAlignment="1" applyProtection="1">
      <alignment horizontal="center" vertical="center" wrapText="1"/>
    </xf>
    <xf numFmtId="170" fontId="39" fillId="0" borderId="40" xfId="14" applyNumberFormat="1" applyFont="1" applyFill="1" applyBorder="1" applyAlignment="1" applyProtection="1">
      <alignment horizontal="center" vertical="center" wrapText="1"/>
      <protection locked="0"/>
    </xf>
    <xf numFmtId="170" fontId="39" fillId="0" borderId="41" xfId="14" applyNumberFormat="1" applyFont="1" applyFill="1" applyBorder="1" applyAlignment="1" applyProtection="1">
      <alignment horizontal="center" vertical="center" wrapText="1"/>
      <protection locked="0"/>
    </xf>
    <xf numFmtId="170" fontId="39" fillId="2" borderId="41" xfId="14" applyNumberFormat="1" applyFont="1" applyFill="1" applyBorder="1" applyAlignment="1" applyProtection="1">
      <alignment horizontal="center" vertical="center" wrapText="1"/>
      <protection locked="0"/>
    </xf>
    <xf numFmtId="10" fontId="39" fillId="2" borderId="42" xfId="16" applyNumberFormat="1" applyFont="1" applyFill="1" applyBorder="1" applyAlignment="1" applyProtection="1">
      <alignment horizontal="center" vertical="center" wrapText="1"/>
      <protection locked="0"/>
    </xf>
    <xf numFmtId="170" fontId="39" fillId="0" borderId="42" xfId="15" applyNumberFormat="1" applyFont="1" applyFill="1" applyBorder="1" applyAlignment="1" applyProtection="1">
      <alignment horizontal="center" vertical="center" wrapText="1"/>
      <protection locked="0"/>
    </xf>
    <xf numFmtId="170" fontId="39" fillId="0" borderId="40" xfId="15" applyNumberFormat="1" applyFont="1" applyFill="1" applyBorder="1" applyAlignment="1" applyProtection="1">
      <alignment horizontal="center" vertical="center" wrapText="1"/>
      <protection locked="0"/>
    </xf>
    <xf numFmtId="170" fontId="39" fillId="0" borderId="42" xfId="14" applyNumberFormat="1" applyFont="1" applyFill="1" applyBorder="1" applyAlignment="1" applyProtection="1">
      <alignment horizontal="center" vertical="center" wrapText="1"/>
      <protection locked="0"/>
    </xf>
    <xf numFmtId="0" fontId="39" fillId="2" borderId="65" xfId="10" applyFont="1" applyFill="1" applyBorder="1" applyAlignment="1">
      <alignment horizontal="center" vertical="center" wrapText="1"/>
    </xf>
    <xf numFmtId="0" fontId="39" fillId="2" borderId="66" xfId="10" applyFont="1" applyFill="1" applyBorder="1" applyAlignment="1">
      <alignment horizontal="center" vertical="center" wrapText="1"/>
    </xf>
    <xf numFmtId="0" fontId="40" fillId="2" borderId="59" xfId="10" applyFont="1" applyFill="1" applyBorder="1" applyAlignment="1">
      <alignment horizontal="center" vertical="center"/>
    </xf>
    <xf numFmtId="165" fontId="39" fillId="33" borderId="35" xfId="8" applyNumberFormat="1" applyFont="1" applyFill="1" applyBorder="1" applyAlignment="1">
      <alignment horizontal="right"/>
    </xf>
    <xf numFmtId="165" fontId="39" fillId="33" borderId="10" xfId="8" applyNumberFormat="1" applyFont="1" applyFill="1" applyBorder="1" applyAlignment="1">
      <alignment horizontal="right"/>
    </xf>
    <xf numFmtId="10" fontId="39" fillId="33" borderId="36" xfId="18" applyNumberFormat="1" applyFont="1" applyFill="1" applyBorder="1" applyAlignment="1">
      <alignment horizontal="right"/>
    </xf>
    <xf numFmtId="43" fontId="39" fillId="33" borderId="35" xfId="8" applyFont="1" applyFill="1" applyBorder="1" applyAlignment="1">
      <alignment horizontal="right"/>
    </xf>
    <xf numFmtId="43" fontId="39" fillId="33" borderId="10" xfId="8" applyFont="1" applyFill="1" applyBorder="1" applyAlignment="1">
      <alignment horizontal="right"/>
    </xf>
    <xf numFmtId="43" fontId="39" fillId="33" borderId="36" xfId="8" applyFont="1" applyFill="1" applyBorder="1" applyAlignment="1">
      <alignment horizontal="right"/>
    </xf>
    <xf numFmtId="43" fontId="39" fillId="33" borderId="35" xfId="8" applyNumberFormat="1" applyFont="1" applyFill="1" applyBorder="1" applyAlignment="1">
      <alignment horizontal="right"/>
    </xf>
    <xf numFmtId="43" fontId="39" fillId="33" borderId="36" xfId="8" applyNumberFormat="1" applyFont="1" applyFill="1" applyBorder="1" applyAlignment="1">
      <alignment horizontal="right"/>
    </xf>
    <xf numFmtId="165" fontId="40" fillId="2" borderId="35" xfId="8" applyNumberFormat="1" applyFont="1" applyFill="1" applyBorder="1" applyAlignment="1">
      <alignment horizontal="right"/>
    </xf>
    <xf numFmtId="165" fontId="40" fillId="2" borderId="10" xfId="8" applyNumberFormat="1" applyFont="1" applyFill="1" applyBorder="1" applyAlignment="1">
      <alignment horizontal="right"/>
    </xf>
    <xf numFmtId="10" fontId="40" fillId="2" borderId="36" xfId="18" applyNumberFormat="1" applyFont="1" applyFill="1" applyBorder="1" applyAlignment="1">
      <alignment horizontal="right"/>
    </xf>
    <xf numFmtId="43" fontId="40" fillId="2" borderId="35" xfId="8" applyFont="1" applyFill="1" applyBorder="1" applyAlignment="1">
      <alignment horizontal="right"/>
    </xf>
    <xf numFmtId="43" fontId="40" fillId="2" borderId="10" xfId="8" applyFont="1" applyFill="1" applyBorder="1" applyAlignment="1">
      <alignment horizontal="right"/>
    </xf>
    <xf numFmtId="43" fontId="40" fillId="2" borderId="36" xfId="8" applyFont="1" applyFill="1" applyBorder="1" applyAlignment="1">
      <alignment horizontal="right"/>
    </xf>
    <xf numFmtId="43" fontId="40" fillId="2" borderId="35" xfId="8" applyNumberFormat="1" applyFont="1" applyFill="1" applyBorder="1" applyAlignment="1">
      <alignment horizontal="right"/>
    </xf>
    <xf numFmtId="43" fontId="40" fillId="2" borderId="36" xfId="8" applyNumberFormat="1" applyFont="1" applyFill="1" applyBorder="1" applyAlignment="1">
      <alignment horizontal="right"/>
    </xf>
    <xf numFmtId="43" fontId="40" fillId="33" borderId="35" xfId="8" applyFont="1" applyFill="1" applyBorder="1" applyAlignment="1">
      <alignment horizontal="right"/>
    </xf>
    <xf numFmtId="43" fontId="40" fillId="33" borderId="10" xfId="8" applyFont="1" applyFill="1" applyBorder="1" applyAlignment="1">
      <alignment horizontal="right"/>
    </xf>
    <xf numFmtId="43" fontId="40" fillId="33" borderId="36" xfId="8" applyFont="1" applyFill="1" applyBorder="1" applyAlignment="1">
      <alignment horizontal="right"/>
    </xf>
    <xf numFmtId="43" fontId="40" fillId="33" borderId="35" xfId="8" applyNumberFormat="1" applyFont="1" applyFill="1" applyBorder="1" applyAlignment="1">
      <alignment horizontal="right"/>
    </xf>
    <xf numFmtId="43" fontId="40" fillId="33" borderId="36" xfId="8" applyNumberFormat="1" applyFont="1" applyFill="1" applyBorder="1" applyAlignment="1">
      <alignment horizontal="right"/>
    </xf>
    <xf numFmtId="0" fontId="39" fillId="2" borderId="59" xfId="10" applyFont="1" applyFill="1" applyBorder="1"/>
    <xf numFmtId="165" fontId="40" fillId="2" borderId="35" xfId="8" applyNumberFormat="1" applyFont="1" applyFill="1" applyBorder="1" applyAlignment="1">
      <alignment horizontal="right" vertical="center"/>
    </xf>
    <xf numFmtId="165" fontId="40" fillId="2" borderId="10" xfId="8" applyNumberFormat="1" applyFont="1" applyFill="1" applyBorder="1" applyAlignment="1">
      <alignment horizontal="right" vertical="center"/>
    </xf>
    <xf numFmtId="43" fontId="40" fillId="2" borderId="35" xfId="8" applyFont="1" applyFill="1" applyBorder="1" applyAlignment="1">
      <alignment horizontal="right" vertical="center"/>
    </xf>
    <xf numFmtId="43" fontId="40" fillId="2" borderId="10" xfId="8" applyFont="1" applyFill="1" applyBorder="1" applyAlignment="1">
      <alignment horizontal="right" vertical="center"/>
    </xf>
    <xf numFmtId="43" fontId="40" fillId="2" borderId="36" xfId="8" applyFont="1" applyFill="1" applyBorder="1" applyAlignment="1">
      <alignment horizontal="right" vertical="center"/>
    </xf>
    <xf numFmtId="165" fontId="40" fillId="0" borderId="35" xfId="8" applyNumberFormat="1" applyFont="1" applyFill="1" applyBorder="1" applyAlignment="1">
      <alignment horizontal="right" vertical="center"/>
    </xf>
    <xf numFmtId="165" fontId="40" fillId="0" borderId="10" xfId="8" applyNumberFormat="1" applyFont="1" applyFill="1" applyBorder="1" applyAlignment="1">
      <alignment horizontal="right" vertical="center"/>
    </xf>
    <xf numFmtId="43" fontId="40" fillId="0" borderId="35" xfId="8" applyFont="1" applyFill="1" applyBorder="1" applyAlignment="1">
      <alignment horizontal="right" vertical="center"/>
    </xf>
    <xf numFmtId="43" fontId="40" fillId="0" borderId="10" xfId="8" applyFont="1" applyFill="1" applyBorder="1" applyAlignment="1">
      <alignment horizontal="right" vertical="center"/>
    </xf>
    <xf numFmtId="43" fontId="40" fillId="0" borderId="36" xfId="8" applyFont="1" applyFill="1" applyBorder="1" applyAlignment="1">
      <alignment horizontal="right" vertical="center"/>
    </xf>
    <xf numFmtId="165" fontId="40" fillId="0" borderId="35" xfId="8" applyNumberFormat="1" applyFont="1" applyFill="1" applyBorder="1" applyAlignment="1">
      <alignment horizontal="right"/>
    </xf>
    <xf numFmtId="165" fontId="40" fillId="0" borderId="10" xfId="8" applyNumberFormat="1" applyFont="1" applyFill="1" applyBorder="1" applyAlignment="1">
      <alignment horizontal="right"/>
    </xf>
    <xf numFmtId="43" fontId="40" fillId="0" borderId="35" xfId="8" applyFont="1" applyFill="1" applyBorder="1" applyAlignment="1">
      <alignment horizontal="right"/>
    </xf>
    <xf numFmtId="43" fontId="40" fillId="0" borderId="10" xfId="8" applyFont="1" applyFill="1" applyBorder="1" applyAlignment="1">
      <alignment horizontal="right"/>
    </xf>
    <xf numFmtId="43" fontId="40" fillId="0" borderId="36" xfId="8" applyFont="1" applyFill="1" applyBorder="1" applyAlignment="1">
      <alignment horizontal="right"/>
    </xf>
    <xf numFmtId="0" fontId="40" fillId="2" borderId="67" xfId="10" applyFont="1" applyFill="1" applyBorder="1"/>
    <xf numFmtId="43" fontId="40" fillId="0" borderId="35" xfId="8" applyNumberFormat="1" applyFont="1" applyFill="1" applyBorder="1" applyAlignment="1">
      <alignment horizontal="right"/>
    </xf>
    <xf numFmtId="43" fontId="40" fillId="0" borderId="36" xfId="8" applyNumberFormat="1" applyFont="1" applyFill="1" applyBorder="1" applyAlignment="1">
      <alignment horizontal="right"/>
    </xf>
    <xf numFmtId="0" fontId="40" fillId="0" borderId="35" xfId="11" applyNumberFormat="1" applyFont="1" applyFill="1" applyBorder="1" applyAlignment="1">
      <alignment horizontal="right"/>
    </xf>
    <xf numFmtId="0" fontId="40" fillId="0" borderId="36" xfId="11" applyNumberFormat="1" applyFont="1" applyFill="1" applyBorder="1" applyAlignment="1">
      <alignment horizontal="right"/>
    </xf>
    <xf numFmtId="0" fontId="40" fillId="0" borderId="10" xfId="11" applyNumberFormat="1" applyFont="1" applyFill="1" applyBorder="1" applyAlignment="1">
      <alignment horizontal="right"/>
    </xf>
    <xf numFmtId="10" fontId="40" fillId="0" borderId="36" xfId="18" applyNumberFormat="1" applyFont="1" applyFill="1" applyBorder="1" applyAlignment="1">
      <alignment horizontal="right"/>
    </xf>
    <xf numFmtId="165" fontId="39" fillId="34" borderId="35" xfId="8" applyNumberFormat="1" applyFont="1" applyFill="1" applyBorder="1" applyAlignment="1">
      <alignment horizontal="right" vertical="center"/>
    </xf>
    <xf numFmtId="43" fontId="39" fillId="34" borderId="35" xfId="8" applyFont="1" applyFill="1" applyBorder="1" applyAlignment="1">
      <alignment horizontal="right" vertical="center"/>
    </xf>
    <xf numFmtId="43" fontId="39" fillId="34" borderId="10" xfId="8" applyFont="1" applyFill="1" applyBorder="1" applyAlignment="1">
      <alignment horizontal="right" vertical="center"/>
    </xf>
    <xf numFmtId="43" fontId="39" fillId="34" borderId="36" xfId="8" applyFont="1" applyFill="1" applyBorder="1" applyAlignment="1">
      <alignment horizontal="right" vertical="center"/>
    </xf>
    <xf numFmtId="43" fontId="39" fillId="34" borderId="35" xfId="8" applyNumberFormat="1" applyFont="1" applyFill="1" applyBorder="1" applyAlignment="1">
      <alignment horizontal="right" vertical="center"/>
    </xf>
    <xf numFmtId="43" fontId="39" fillId="34" borderId="36" xfId="8" applyNumberFormat="1" applyFont="1" applyFill="1" applyBorder="1" applyAlignment="1">
      <alignment horizontal="right" vertical="center"/>
    </xf>
    <xf numFmtId="165" fontId="47" fillId="0" borderId="35" xfId="8" applyNumberFormat="1" applyFont="1" applyBorder="1" applyAlignment="1">
      <alignment horizontal="right"/>
    </xf>
    <xf numFmtId="165" fontId="47" fillId="0" borderId="10" xfId="8" applyNumberFormat="1" applyFont="1" applyBorder="1" applyAlignment="1">
      <alignment horizontal="right"/>
    </xf>
    <xf numFmtId="10" fontId="47" fillId="0" borderId="36" xfId="18" applyNumberFormat="1" applyFont="1" applyBorder="1" applyAlignment="1">
      <alignment horizontal="right"/>
    </xf>
    <xf numFmtId="43" fontId="47" fillId="0" borderId="35" xfId="8" applyFont="1" applyBorder="1" applyAlignment="1">
      <alignment horizontal="right"/>
    </xf>
    <xf numFmtId="43" fontId="47" fillId="0" borderId="10" xfId="8" applyFont="1" applyBorder="1" applyAlignment="1">
      <alignment horizontal="right"/>
    </xf>
    <xf numFmtId="43" fontId="47" fillId="0" borderId="36" xfId="8" applyFont="1" applyBorder="1" applyAlignment="1">
      <alignment horizontal="right"/>
    </xf>
    <xf numFmtId="43" fontId="47" fillId="0" borderId="35" xfId="8" applyNumberFormat="1" applyFont="1" applyBorder="1" applyAlignment="1">
      <alignment horizontal="right"/>
    </xf>
    <xf numFmtId="43" fontId="47" fillId="0" borderId="36" xfId="8" applyNumberFormat="1" applyFont="1" applyBorder="1" applyAlignment="1">
      <alignment horizontal="right"/>
    </xf>
    <xf numFmtId="165" fontId="39" fillId="34" borderId="37" xfId="8" applyNumberFormat="1" applyFont="1" applyFill="1" applyBorder="1" applyAlignment="1">
      <alignment horizontal="right" vertical="center"/>
    </xf>
    <xf numFmtId="10" fontId="39" fillId="34" borderId="39" xfId="18" applyNumberFormat="1" applyFont="1" applyFill="1" applyBorder="1" applyAlignment="1">
      <alignment horizontal="right" vertical="center"/>
    </xf>
    <xf numFmtId="43" fontId="39" fillId="34" borderId="37" xfId="8" applyFont="1" applyFill="1" applyBorder="1" applyAlignment="1">
      <alignment horizontal="right" vertical="center"/>
    </xf>
    <xf numFmtId="43" fontId="39" fillId="34" borderId="38" xfId="8" applyFont="1" applyFill="1" applyBorder="1" applyAlignment="1">
      <alignment horizontal="right" vertical="center"/>
    </xf>
    <xf numFmtId="43" fontId="39" fillId="34" borderId="39" xfId="8" applyFont="1" applyFill="1" applyBorder="1" applyAlignment="1">
      <alignment horizontal="right" vertical="center"/>
    </xf>
    <xf numFmtId="43" fontId="39" fillId="34" borderId="37" xfId="8" applyNumberFormat="1" applyFont="1" applyFill="1" applyBorder="1" applyAlignment="1">
      <alignment horizontal="right" vertical="center"/>
    </xf>
    <xf numFmtId="43" fontId="39" fillId="34" borderId="39" xfId="8" applyNumberFormat="1" applyFont="1" applyFill="1" applyBorder="1" applyAlignment="1">
      <alignment horizontal="right" vertical="center"/>
    </xf>
    <xf numFmtId="43" fontId="39" fillId="34" borderId="38" xfId="8" applyNumberFormat="1" applyFont="1" applyFill="1" applyBorder="1" applyAlignment="1">
      <alignment horizontal="right" vertical="center"/>
    </xf>
    <xf numFmtId="0" fontId="39" fillId="2" borderId="68" xfId="10" applyFont="1" applyFill="1" applyBorder="1"/>
    <xf numFmtId="0" fontId="40" fillId="2" borderId="68" xfId="10" applyFont="1" applyFill="1" applyBorder="1"/>
    <xf numFmtId="165" fontId="41" fillId="2" borderId="68" xfId="14" applyNumberFormat="1" applyFont="1" applyFill="1" applyBorder="1"/>
    <xf numFmtId="165" fontId="41" fillId="2" borderId="68" xfId="15" applyNumberFormat="1" applyFont="1" applyFill="1" applyBorder="1"/>
    <xf numFmtId="10" fontId="41" fillId="2" borderId="68" xfId="16" applyNumberFormat="1" applyFont="1" applyFill="1" applyBorder="1" applyAlignment="1">
      <alignment horizontal="right"/>
    </xf>
    <xf numFmtId="43" fontId="41" fillId="2" borderId="68" xfId="15" applyFont="1" applyFill="1" applyBorder="1"/>
    <xf numFmtId="165" fontId="41" fillId="2" borderId="59" xfId="14" applyNumberFormat="1" applyFont="1" applyFill="1" applyBorder="1"/>
    <xf numFmtId="165" fontId="41" fillId="2" borderId="59" xfId="15" applyNumberFormat="1" applyFont="1" applyFill="1" applyBorder="1"/>
    <xf numFmtId="10" fontId="41" fillId="2" borderId="59" xfId="16" applyNumberFormat="1" applyFont="1" applyFill="1" applyBorder="1" applyAlignment="1">
      <alignment horizontal="right"/>
    </xf>
    <xf numFmtId="43" fontId="41" fillId="2" borderId="59" xfId="15" applyFont="1" applyFill="1" applyBorder="1"/>
    <xf numFmtId="164" fontId="40" fillId="35" borderId="35" xfId="11" applyNumberFormat="1" applyFont="1" applyFill="1" applyBorder="1" applyAlignment="1">
      <alignment horizontal="left" indent="1"/>
    </xf>
    <xf numFmtId="164" fontId="40" fillId="2" borderId="35" xfId="11" applyNumberFormat="1" applyFont="1" applyFill="1" applyBorder="1" applyAlignment="1">
      <alignment horizontal="left" indent="1"/>
    </xf>
    <xf numFmtId="164" fontId="40" fillId="33" borderId="35" xfId="11" applyNumberFormat="1" applyFont="1" applyFill="1" applyBorder="1" applyAlignment="1">
      <alignment horizontal="left" indent="1"/>
    </xf>
    <xf numFmtId="164" fontId="40" fillId="36" borderId="35" xfId="11" applyNumberFormat="1" applyFont="1" applyFill="1" applyBorder="1" applyAlignment="1">
      <alignment horizontal="left" indent="1"/>
    </xf>
    <xf numFmtId="164" fontId="40" fillId="37" borderId="35" xfId="11" applyNumberFormat="1" applyFont="1" applyFill="1" applyBorder="1" applyAlignment="1">
      <alignment horizontal="left" indent="1"/>
    </xf>
    <xf numFmtId="164" fontId="40" fillId="38" borderId="35" xfId="11" applyNumberFormat="1" applyFont="1" applyFill="1" applyBorder="1" applyAlignment="1">
      <alignment horizontal="left" indent="1"/>
    </xf>
    <xf numFmtId="164" fontId="40" fillId="39" borderId="35" xfId="11" applyNumberFormat="1" applyFont="1" applyFill="1" applyBorder="1" applyAlignment="1">
      <alignment horizontal="left" indent="1"/>
    </xf>
    <xf numFmtId="164" fontId="40" fillId="40" borderId="35" xfId="11" applyNumberFormat="1" applyFont="1" applyFill="1" applyBorder="1" applyAlignment="1">
      <alignment horizontal="left" indent="1"/>
    </xf>
    <xf numFmtId="164" fontId="39" fillId="2" borderId="35" xfId="11" applyNumberFormat="1" applyFont="1" applyFill="1" applyBorder="1" applyAlignment="1">
      <alignment horizontal="left"/>
    </xf>
    <xf numFmtId="164" fontId="39" fillId="39" borderId="35" xfId="11" applyNumberFormat="1" applyFont="1" applyFill="1" applyBorder="1" applyAlignment="1">
      <alignment horizontal="left" indent="1"/>
    </xf>
    <xf numFmtId="164" fontId="39" fillId="40" borderId="35" xfId="11" applyNumberFormat="1" applyFont="1" applyFill="1" applyBorder="1" applyAlignment="1">
      <alignment horizontal="left" indent="1"/>
    </xf>
    <xf numFmtId="164" fontId="39" fillId="38" borderId="35" xfId="11" applyNumberFormat="1" applyFont="1" applyFill="1" applyBorder="1" applyAlignment="1">
      <alignment horizontal="left" indent="1"/>
    </xf>
    <xf numFmtId="164" fontId="39" fillId="35" borderId="35" xfId="11" applyNumberFormat="1" applyFont="1" applyFill="1" applyBorder="1" applyAlignment="1">
      <alignment horizontal="left" indent="1"/>
    </xf>
    <xf numFmtId="164" fontId="39" fillId="36" borderId="35" xfId="11" applyNumberFormat="1" applyFont="1" applyFill="1" applyBorder="1" applyAlignment="1">
      <alignment horizontal="left" indent="1"/>
    </xf>
    <xf numFmtId="164" fontId="40" fillId="2" borderId="47" xfId="11" applyNumberFormat="1" applyFont="1" applyFill="1" applyBorder="1" applyAlignment="1">
      <alignment horizontal="left"/>
    </xf>
    <xf numFmtId="164" fontId="40" fillId="38" borderId="35" xfId="11" applyNumberFormat="1" applyFont="1" applyFill="1" applyBorder="1" applyAlignment="1">
      <alignment horizontal="left"/>
    </xf>
    <xf numFmtId="164" fontId="40" fillId="2" borderId="10" xfId="7" applyNumberFormat="1" applyFont="1" applyFill="1" applyBorder="1"/>
    <xf numFmtId="164" fontId="40" fillId="36" borderId="35" xfId="11" applyNumberFormat="1" applyFont="1" applyFill="1" applyBorder="1" applyAlignment="1">
      <alignment horizontal="left"/>
    </xf>
    <xf numFmtId="0" fontId="48" fillId="0" borderId="37" xfId="6" applyFont="1" applyBorder="1" applyAlignment="1">
      <alignment vertical="center"/>
    </xf>
    <xf numFmtId="164" fontId="40" fillId="0" borderId="10" xfId="7" applyNumberFormat="1" applyFont="1" applyFill="1" applyBorder="1"/>
    <xf numFmtId="164" fontId="35" fillId="0" borderId="0" xfId="6" applyNumberFormat="1" applyFont="1"/>
    <xf numFmtId="164" fontId="39" fillId="0" borderId="47" xfId="11" applyNumberFormat="1" applyFont="1" applyFill="1" applyBorder="1" applyAlignment="1" applyProtection="1">
      <alignment horizontal="center" vertical="center" wrapText="1"/>
      <protection locked="0"/>
    </xf>
    <xf numFmtId="164" fontId="40" fillId="2" borderId="47" xfId="11" applyNumberFormat="1" applyFont="1" applyFill="1" applyBorder="1" applyAlignment="1">
      <alignment horizontal="center"/>
    </xf>
    <xf numFmtId="164" fontId="39" fillId="33" borderId="53" xfId="11" applyNumberFormat="1" applyFont="1" applyFill="1" applyBorder="1" applyAlignment="1">
      <alignment horizontal="center"/>
    </xf>
    <xf numFmtId="164" fontId="40" fillId="0" borderId="51" xfId="11" applyNumberFormat="1" applyFont="1" applyFill="1" applyBorder="1" applyAlignment="1">
      <alignment horizontal="center"/>
    </xf>
    <xf numFmtId="164" fontId="40" fillId="31" borderId="47" xfId="11" applyNumberFormat="1" applyFont="1" applyFill="1" applyBorder="1" applyAlignment="1">
      <alignment horizontal="center"/>
    </xf>
    <xf numFmtId="0" fontId="7" fillId="31" borderId="0" xfId="6" applyFont="1" applyFill="1"/>
    <xf numFmtId="164" fontId="39" fillId="31" borderId="53" xfId="11" applyNumberFormat="1" applyFont="1" applyFill="1" applyBorder="1" applyAlignment="1">
      <alignment horizontal="center"/>
    </xf>
    <xf numFmtId="164" fontId="40" fillId="31" borderId="51" xfId="11" applyNumberFormat="1" applyFont="1" applyFill="1" applyBorder="1" applyAlignment="1">
      <alignment horizontal="center"/>
    </xf>
    <xf numFmtId="164" fontId="7" fillId="31" borderId="0" xfId="6" applyNumberFormat="1" applyFont="1" applyFill="1"/>
    <xf numFmtId="0" fontId="40" fillId="31" borderId="0" xfId="6" applyFont="1" applyFill="1"/>
    <xf numFmtId="164" fontId="35" fillId="0" borderId="51" xfId="7" applyNumberFormat="1" applyFont="1" applyBorder="1"/>
    <xf numFmtId="164" fontId="35" fillId="0" borderId="69" xfId="7" applyNumberFormat="1" applyFont="1" applyBorder="1"/>
    <xf numFmtId="164" fontId="37" fillId="0" borderId="11" xfId="7" applyNumberFormat="1" applyFont="1" applyBorder="1"/>
    <xf numFmtId="0" fontId="48" fillId="0" borderId="29" xfId="6" applyFont="1" applyBorder="1" applyAlignment="1">
      <alignment vertical="center"/>
    </xf>
    <xf numFmtId="164" fontId="35" fillId="0" borderId="30" xfId="7" applyNumberFormat="1" applyFont="1" applyBorder="1"/>
    <xf numFmtId="3" fontId="0" fillId="0" borderId="0" xfId="0" applyNumberFormat="1"/>
    <xf numFmtId="164" fontId="35" fillId="0" borderId="70" xfId="7" applyNumberFormat="1" applyFont="1" applyBorder="1"/>
    <xf numFmtId="164" fontId="35" fillId="0" borderId="31" xfId="7" applyNumberFormat="1" applyFont="1" applyBorder="1"/>
    <xf numFmtId="0" fontId="48" fillId="0" borderId="71" xfId="6" applyFont="1" applyBorder="1" applyAlignment="1">
      <alignment vertical="center"/>
    </xf>
    <xf numFmtId="0" fontId="37" fillId="10" borderId="26" xfId="6" applyFont="1" applyFill="1" applyBorder="1" applyAlignment="1">
      <alignment horizontal="center" vertical="center"/>
    </xf>
    <xf numFmtId="0" fontId="48" fillId="10" borderId="27" xfId="6" applyFont="1" applyFill="1" applyBorder="1" applyAlignment="1">
      <alignment horizontal="center" vertical="center" wrapText="1"/>
    </xf>
    <xf numFmtId="0" fontId="48" fillId="10" borderId="27" xfId="6" applyFont="1" applyFill="1" applyBorder="1" applyAlignment="1">
      <alignment horizontal="center" vertical="center"/>
    </xf>
    <xf numFmtId="0" fontId="48" fillId="10" borderId="28" xfId="6" applyFont="1" applyFill="1" applyBorder="1" applyAlignment="1">
      <alignment horizontal="center" vertical="center" wrapText="1"/>
    </xf>
    <xf numFmtId="164" fontId="49" fillId="0" borderId="31" xfId="7" applyNumberFormat="1" applyFont="1" applyBorder="1"/>
    <xf numFmtId="164" fontId="40" fillId="0" borderId="0" xfId="11" applyNumberFormat="1" applyFont="1" applyFill="1" applyAlignment="1">
      <alignment horizontal="center"/>
    </xf>
    <xf numFmtId="164" fontId="40" fillId="0" borderId="0" xfId="11" applyNumberFormat="1" applyFont="1" applyFill="1"/>
    <xf numFmtId="0" fontId="40" fillId="0" borderId="0" xfId="10" applyFont="1" applyFill="1" applyAlignment="1">
      <alignment horizontal="center"/>
    </xf>
    <xf numFmtId="0" fontId="40" fillId="0" borderId="0" xfId="10" applyFont="1" applyFill="1" applyBorder="1" applyAlignment="1">
      <alignment horizontal="center"/>
    </xf>
    <xf numFmtId="164" fontId="40" fillId="0" borderId="0" xfId="11" applyNumberFormat="1" applyFont="1" applyFill="1" applyAlignment="1">
      <alignment horizontal="left"/>
    </xf>
    <xf numFmtId="164" fontId="39" fillId="0" borderId="0" xfId="11" applyNumberFormat="1" applyFont="1" applyFill="1" applyAlignment="1">
      <alignment horizontal="left"/>
    </xf>
    <xf numFmtId="0" fontId="51" fillId="0" borderId="0" xfId="6" applyFont="1" applyAlignment="1">
      <alignment horizontal="center"/>
    </xf>
    <xf numFmtId="165" fontId="35" fillId="0" borderId="45" xfId="8" applyNumberFormat="1" applyFont="1" applyBorder="1"/>
    <xf numFmtId="165" fontId="35" fillId="0" borderId="51" xfId="8" applyNumberFormat="1" applyFont="1" applyBorder="1"/>
    <xf numFmtId="0" fontId="36" fillId="0" borderId="0" xfId="6" applyFont="1" applyBorder="1" applyAlignment="1">
      <alignment horizontal="center" vertical="center"/>
    </xf>
    <xf numFmtId="0" fontId="36" fillId="0" borderId="0" xfId="6" applyFont="1" applyBorder="1" applyAlignment="1">
      <alignment horizontal="center" vertical="center" wrapText="1"/>
    </xf>
    <xf numFmtId="0" fontId="36" fillId="0" borderId="0" xfId="6" applyFont="1" applyFill="1" applyBorder="1" applyAlignment="1">
      <alignment horizontal="center" vertical="center"/>
    </xf>
    <xf numFmtId="165" fontId="35" fillId="0" borderId="0" xfId="8" applyNumberFormat="1" applyFont="1" applyBorder="1"/>
    <xf numFmtId="0" fontId="40" fillId="0" borderId="0" xfId="10" applyFont="1" applyFill="1" applyBorder="1"/>
    <xf numFmtId="164" fontId="39" fillId="0" borderId="35" xfId="11" applyNumberFormat="1" applyFont="1" applyFill="1" applyBorder="1" applyAlignment="1">
      <alignment horizontal="left"/>
    </xf>
    <xf numFmtId="165" fontId="39" fillId="0" borderId="35" xfId="8" applyNumberFormat="1" applyFont="1" applyFill="1" applyBorder="1" applyAlignment="1">
      <alignment horizontal="right"/>
    </xf>
    <xf numFmtId="165" fontId="39" fillId="0" borderId="10" xfId="8" applyNumberFormat="1" applyFont="1" applyFill="1" applyBorder="1" applyAlignment="1">
      <alignment horizontal="right"/>
    </xf>
    <xf numFmtId="10" fontId="39" fillId="0" borderId="36" xfId="18" applyNumberFormat="1" applyFont="1" applyFill="1" applyBorder="1" applyAlignment="1">
      <alignment horizontal="right"/>
    </xf>
    <xf numFmtId="43" fontId="39" fillId="0" borderId="35" xfId="8" applyFont="1" applyFill="1" applyBorder="1" applyAlignment="1">
      <alignment horizontal="right"/>
    </xf>
    <xf numFmtId="43" fontId="39" fillId="0" borderId="10" xfId="8" applyFont="1" applyFill="1" applyBorder="1" applyAlignment="1">
      <alignment horizontal="right"/>
    </xf>
    <xf numFmtId="43" fontId="39" fillId="0" borderId="36" xfId="8" applyFont="1" applyFill="1" applyBorder="1" applyAlignment="1">
      <alignment horizontal="right"/>
    </xf>
    <xf numFmtId="43" fontId="39" fillId="0" borderId="35" xfId="8" applyNumberFormat="1" applyFont="1" applyFill="1" applyBorder="1" applyAlignment="1">
      <alignment horizontal="right"/>
    </xf>
    <xf numFmtId="43" fontId="39" fillId="0" borderId="36" xfId="8" applyNumberFormat="1" applyFont="1" applyFill="1" applyBorder="1" applyAlignment="1">
      <alignment horizontal="right"/>
    </xf>
    <xf numFmtId="0" fontId="40" fillId="0" borderId="59" xfId="10" applyFont="1" applyFill="1" applyBorder="1"/>
    <xf numFmtId="9" fontId="39" fillId="34" borderId="35" xfId="8" applyNumberFormat="1" applyFont="1" applyFill="1" applyBorder="1" applyAlignment="1">
      <alignment horizontal="right" vertical="center"/>
    </xf>
    <xf numFmtId="39" fontId="39" fillId="33" borderId="35" xfId="8" applyNumberFormat="1" applyFont="1" applyFill="1" applyBorder="1" applyAlignment="1">
      <alignment horizontal="right"/>
    </xf>
    <xf numFmtId="165" fontId="52" fillId="2" borderId="58" xfId="15" applyNumberFormat="1" applyFont="1" applyFill="1" applyBorder="1"/>
    <xf numFmtId="165" fontId="52" fillId="2" borderId="0" xfId="15" applyNumberFormat="1" applyFont="1" applyFill="1" applyBorder="1"/>
    <xf numFmtId="170" fontId="53" fillId="0" borderId="40" xfId="14" applyNumberFormat="1" applyFont="1" applyFill="1" applyBorder="1" applyAlignment="1" applyProtection="1">
      <alignment horizontal="center" vertical="center" wrapText="1"/>
      <protection locked="0"/>
    </xf>
    <xf numFmtId="165" fontId="53" fillId="33" borderId="35" xfId="8" applyNumberFormat="1" applyFont="1" applyFill="1" applyBorder="1" applyAlignment="1">
      <alignment horizontal="right"/>
    </xf>
    <xf numFmtId="165" fontId="54" fillId="2" borderId="35" xfId="8" applyNumberFormat="1" applyFont="1" applyFill="1" applyBorder="1" applyAlignment="1">
      <alignment horizontal="right"/>
    </xf>
    <xf numFmtId="165" fontId="54" fillId="0" borderId="35" xfId="8" applyNumberFormat="1" applyFont="1" applyFill="1" applyBorder="1" applyAlignment="1">
      <alignment horizontal="right"/>
    </xf>
    <xf numFmtId="165" fontId="53" fillId="0" borderId="35" xfId="8" applyNumberFormat="1" applyFont="1" applyFill="1" applyBorder="1" applyAlignment="1">
      <alignment horizontal="right"/>
    </xf>
    <xf numFmtId="165" fontId="54" fillId="2" borderId="35" xfId="8" applyNumberFormat="1" applyFont="1" applyFill="1" applyBorder="1" applyAlignment="1">
      <alignment horizontal="right" vertical="center"/>
    </xf>
    <xf numFmtId="165" fontId="54" fillId="0" borderId="35" xfId="8" applyNumberFormat="1" applyFont="1" applyFill="1" applyBorder="1" applyAlignment="1">
      <alignment horizontal="right" vertical="center"/>
    </xf>
    <xf numFmtId="165" fontId="53" fillId="34" borderId="35" xfId="8" applyNumberFormat="1" applyFont="1" applyFill="1" applyBorder="1" applyAlignment="1">
      <alignment horizontal="right" vertical="center"/>
    </xf>
    <xf numFmtId="165" fontId="55" fillId="0" borderId="35" xfId="8" applyNumberFormat="1" applyFont="1" applyBorder="1" applyAlignment="1">
      <alignment horizontal="right"/>
    </xf>
    <xf numFmtId="165" fontId="53" fillId="34" borderId="37" xfId="8" applyNumberFormat="1" applyFont="1" applyFill="1" applyBorder="1" applyAlignment="1">
      <alignment horizontal="right" vertical="center"/>
    </xf>
    <xf numFmtId="165" fontId="52" fillId="2" borderId="68" xfId="15" applyNumberFormat="1" applyFont="1" applyFill="1" applyBorder="1"/>
    <xf numFmtId="165" fontId="52" fillId="2" borderId="59" xfId="15" applyNumberFormat="1" applyFont="1" applyFill="1" applyBorder="1"/>
    <xf numFmtId="0" fontId="37" fillId="10" borderId="22" xfId="6" applyFont="1" applyFill="1" applyBorder="1" applyAlignment="1">
      <alignment horizontal="center" vertical="center"/>
    </xf>
    <xf numFmtId="0" fontId="48" fillId="10" borderId="11" xfId="6" applyFont="1" applyFill="1" applyBorder="1" applyAlignment="1">
      <alignment horizontal="center" vertical="center" wrapText="1"/>
    </xf>
    <xf numFmtId="0" fontId="48" fillId="10" borderId="16" xfId="6" applyFont="1" applyFill="1" applyBorder="1" applyAlignment="1">
      <alignment horizontal="center" vertical="center" wrapText="1"/>
    </xf>
    <xf numFmtId="0" fontId="48" fillId="10" borderId="16" xfId="6" applyFont="1" applyFill="1" applyBorder="1" applyAlignment="1">
      <alignment horizontal="center" vertical="center"/>
    </xf>
    <xf numFmtId="0" fontId="48" fillId="10" borderId="11" xfId="6" applyFont="1" applyFill="1" applyBorder="1" applyAlignment="1">
      <alignment horizontal="center" vertical="center"/>
    </xf>
    <xf numFmtId="165" fontId="49" fillId="0" borderId="34" xfId="8" applyNumberFormat="1" applyFont="1" applyBorder="1"/>
    <xf numFmtId="165" fontId="49" fillId="0" borderId="36" xfId="8" applyNumberFormat="1" applyFont="1" applyBorder="1"/>
    <xf numFmtId="0" fontId="37" fillId="0" borderId="32" xfId="6" applyFont="1" applyBorder="1"/>
    <xf numFmtId="0" fontId="48" fillId="0" borderId="35" xfId="6" applyFont="1" applyBorder="1" applyAlignment="1">
      <alignment vertical="center"/>
    </xf>
    <xf numFmtId="3" fontId="35" fillId="0" borderId="33" xfId="8" applyNumberFormat="1" applyFont="1" applyBorder="1"/>
    <xf numFmtId="3" fontId="35" fillId="0" borderId="72" xfId="8" applyNumberFormat="1" applyFont="1" applyBorder="1"/>
    <xf numFmtId="37" fontId="35" fillId="0" borderId="33" xfId="8" applyNumberFormat="1" applyFont="1" applyBorder="1"/>
    <xf numFmtId="37" fontId="49" fillId="0" borderId="34" xfId="8" applyNumberFormat="1" applyFont="1" applyBorder="1"/>
    <xf numFmtId="37" fontId="49" fillId="0" borderId="36" xfId="8" applyNumberFormat="1" applyFont="1" applyBorder="1"/>
    <xf numFmtId="37" fontId="35" fillId="0" borderId="38" xfId="8" applyNumberFormat="1" applyFont="1" applyBorder="1"/>
    <xf numFmtId="37" fontId="35" fillId="0" borderId="51" xfId="8" applyNumberFormat="1" applyFont="1" applyBorder="1"/>
    <xf numFmtId="37" fontId="35" fillId="0" borderId="39" xfId="8" applyNumberFormat="1" applyFont="1" applyBorder="1"/>
    <xf numFmtId="1" fontId="35" fillId="0" borderId="38" xfId="8" applyNumberFormat="1" applyFont="1" applyBorder="1"/>
    <xf numFmtId="1" fontId="35" fillId="0" borderId="51" xfId="8" applyNumberFormat="1" applyFont="1" applyBorder="1"/>
    <xf numFmtId="1" fontId="35" fillId="0" borderId="39" xfId="8" applyNumberFormat="1" applyFont="1" applyBorder="1"/>
    <xf numFmtId="3" fontId="49" fillId="0" borderId="34" xfId="8" applyNumberFormat="1" applyFont="1" applyBorder="1"/>
    <xf numFmtId="3" fontId="49" fillId="0" borderId="36" xfId="8" applyNumberFormat="1" applyFont="1" applyBorder="1"/>
    <xf numFmtId="3" fontId="35" fillId="0" borderId="13" xfId="0" applyNumberFormat="1" applyFont="1" applyBorder="1" applyAlignment="1">
      <alignment horizontal="center"/>
    </xf>
    <xf numFmtId="0" fontId="0" fillId="0" borderId="15" xfId="0" applyBorder="1"/>
    <xf numFmtId="0" fontId="0" fillId="10" borderId="11" xfId="0" applyFill="1" applyBorder="1"/>
    <xf numFmtId="0" fontId="20" fillId="0" borderId="0" xfId="0" applyFont="1" applyFill="1"/>
    <xf numFmtId="9" fontId="20" fillId="0" borderId="0" xfId="5" applyFont="1" applyFill="1"/>
    <xf numFmtId="10" fontId="0" fillId="0" borderId="0" xfId="0" applyNumberFormat="1" applyBorder="1" applyAlignment="1">
      <alignment horizontal="center"/>
    </xf>
    <xf numFmtId="165" fontId="37" fillId="0" borderId="33" xfId="8" applyNumberFormat="1" applyFont="1" applyBorder="1"/>
    <xf numFmtId="10" fontId="0" fillId="0" borderId="0" xfId="0" applyNumberFormat="1" applyAlignment="1">
      <alignment horizontal="center"/>
    </xf>
    <xf numFmtId="170" fontId="39" fillId="31" borderId="41" xfId="14" applyNumberFormat="1" applyFont="1" applyFill="1" applyBorder="1" applyAlignment="1" applyProtection="1">
      <alignment horizontal="center" vertical="center" wrapText="1"/>
      <protection locked="0"/>
    </xf>
    <xf numFmtId="164" fontId="53" fillId="0" borderId="10" xfId="11" applyNumberFormat="1" applyFont="1" applyFill="1" applyBorder="1" applyAlignment="1" applyProtection="1">
      <alignment horizontal="center" vertical="center" wrapText="1"/>
      <protection locked="0"/>
    </xf>
    <xf numFmtId="164" fontId="53" fillId="33" borderId="35" xfId="11" applyNumberFormat="1" applyFont="1" applyFill="1" applyBorder="1" applyAlignment="1">
      <alignment horizontal="center"/>
    </xf>
    <xf numFmtId="164" fontId="54" fillId="0" borderId="10" xfId="7" applyNumberFormat="1" applyFont="1" applyBorder="1"/>
    <xf numFmtId="164" fontId="54" fillId="0" borderId="10" xfId="11" applyNumberFormat="1" applyFont="1" applyFill="1" applyBorder="1" applyAlignment="1">
      <alignment horizontal="center"/>
    </xf>
    <xf numFmtId="164" fontId="54" fillId="2" borderId="10" xfId="7" applyNumberFormat="1" applyFont="1" applyFill="1" applyBorder="1"/>
    <xf numFmtId="164" fontId="54" fillId="0" borderId="10" xfId="7" applyNumberFormat="1" applyFont="1" applyFill="1" applyBorder="1"/>
    <xf numFmtId="164" fontId="53" fillId="34" borderId="35" xfId="11" applyNumberFormat="1" applyFont="1" applyFill="1" applyBorder="1" applyAlignment="1">
      <alignment horizontal="right" vertical="center"/>
    </xf>
    <xf numFmtId="164" fontId="53" fillId="33" borderId="10" xfId="11" applyNumberFormat="1" applyFont="1" applyFill="1" applyBorder="1" applyAlignment="1">
      <alignment horizontal="center"/>
    </xf>
    <xf numFmtId="164" fontId="53" fillId="0" borderId="10" xfId="11" applyNumberFormat="1" applyFont="1" applyFill="1" applyBorder="1" applyAlignment="1">
      <alignment horizontal="center"/>
    </xf>
    <xf numFmtId="164" fontId="53" fillId="34" borderId="10" xfId="11" applyNumberFormat="1" applyFont="1" applyFill="1" applyBorder="1" applyAlignment="1">
      <alignment horizontal="right" vertical="center"/>
    </xf>
    <xf numFmtId="0" fontId="54" fillId="0" borderId="10" xfId="6" applyFont="1" applyBorder="1"/>
    <xf numFmtId="164" fontId="53" fillId="34" borderId="38" xfId="11" applyNumberFormat="1" applyFont="1" applyFill="1" applyBorder="1" applyAlignment="1">
      <alignment horizontal="right" vertical="center"/>
    </xf>
    <xf numFmtId="0" fontId="54" fillId="0" borderId="0" xfId="6" applyFont="1"/>
    <xf numFmtId="164" fontId="53" fillId="33" borderId="41" xfId="11" applyNumberFormat="1" applyFont="1" applyFill="1" applyBorder="1" applyAlignment="1">
      <alignment horizontal="center"/>
    </xf>
    <xf numFmtId="164" fontId="54" fillId="0" borderId="38" xfId="11" applyNumberFormat="1" applyFont="1" applyFill="1" applyBorder="1" applyAlignment="1">
      <alignment horizontal="center"/>
    </xf>
    <xf numFmtId="164" fontId="53" fillId="0" borderId="47" xfId="11" applyNumberFormat="1" applyFont="1" applyFill="1" applyBorder="1" applyAlignment="1" applyProtection="1">
      <alignment horizontal="center" vertical="center" wrapText="1"/>
      <protection locked="0"/>
    </xf>
    <xf numFmtId="164" fontId="54" fillId="2" borderId="10" xfId="11" applyNumberFormat="1" applyFont="1" applyFill="1" applyBorder="1" applyAlignment="1">
      <alignment horizontal="center"/>
    </xf>
    <xf numFmtId="0" fontId="54" fillId="31" borderId="0" xfId="6" applyFont="1" applyFill="1"/>
    <xf numFmtId="164" fontId="53" fillId="31" borderId="53" xfId="11" applyNumberFormat="1" applyFont="1" applyFill="1" applyBorder="1" applyAlignment="1">
      <alignment horizontal="center"/>
    </xf>
    <xf numFmtId="164" fontId="54" fillId="31" borderId="47" xfId="11" applyNumberFormat="1" applyFont="1" applyFill="1" applyBorder="1" applyAlignment="1">
      <alignment horizontal="center"/>
    </xf>
    <xf numFmtId="164" fontId="54" fillId="31" borderId="51" xfId="11" applyNumberFormat="1" applyFont="1" applyFill="1" applyBorder="1" applyAlignment="1">
      <alignment horizontal="center"/>
    </xf>
    <xf numFmtId="3" fontId="35" fillId="0" borderId="0" xfId="6" applyNumberFormat="1" applyFont="1"/>
    <xf numFmtId="0" fontId="0" fillId="12" borderId="0" xfId="0" applyFill="1"/>
    <xf numFmtId="169" fontId="0" fillId="12" borderId="0" xfId="5" applyNumberFormat="1" applyFont="1" applyFill="1"/>
    <xf numFmtId="3" fontId="35" fillId="0" borderId="21" xfId="0" applyNumberFormat="1" applyFont="1" applyBorder="1" applyAlignment="1">
      <alignment horizontal="center"/>
    </xf>
    <xf numFmtId="0" fontId="0" fillId="10" borderId="17" xfId="0" applyFill="1" applyBorder="1"/>
    <xf numFmtId="0" fontId="0" fillId="0" borderId="25" xfId="0" applyBorder="1"/>
    <xf numFmtId="165" fontId="35" fillId="0" borderId="73" xfId="8" applyNumberFormat="1" applyFont="1" applyBorder="1"/>
    <xf numFmtId="43" fontId="35" fillId="0" borderId="10" xfId="1" applyFont="1" applyBorder="1"/>
    <xf numFmtId="43" fontId="35" fillId="0" borderId="47" xfId="1" applyFont="1" applyBorder="1"/>
    <xf numFmtId="43" fontId="35" fillId="0" borderId="69" xfId="1" applyFont="1" applyBorder="1"/>
    <xf numFmtId="43" fontId="35" fillId="0" borderId="49" xfId="1" applyFont="1" applyBorder="1"/>
    <xf numFmtId="2" fontId="35" fillId="0" borderId="10" xfId="8" applyNumberFormat="1" applyFont="1" applyBorder="1"/>
    <xf numFmtId="2" fontId="35" fillId="0" borderId="47" xfId="8" applyNumberFormat="1" applyFont="1" applyBorder="1"/>
    <xf numFmtId="2" fontId="49" fillId="0" borderId="36" xfId="8" applyNumberFormat="1" applyFont="1" applyBorder="1"/>
    <xf numFmtId="0" fontId="51" fillId="0" borderId="0" xfId="6" applyFont="1" applyAlignment="1">
      <alignment horizontal="center"/>
    </xf>
    <xf numFmtId="0" fontId="19" fillId="29" borderId="23" xfId="0" applyFont="1" applyFill="1" applyBorder="1" applyAlignment="1">
      <alignment horizontal="center" vertical="center" wrapText="1"/>
    </xf>
    <xf numFmtId="0" fontId="19" fillId="29" borderId="15" xfId="0" applyFont="1" applyFill="1" applyBorder="1" applyAlignment="1">
      <alignment horizontal="center" vertical="center" wrapText="1"/>
    </xf>
    <xf numFmtId="164" fontId="19" fillId="29" borderId="19" xfId="0" applyNumberFormat="1" applyFont="1" applyFill="1" applyBorder="1" applyAlignment="1">
      <alignment horizontal="center"/>
    </xf>
    <xf numFmtId="164" fontId="19" fillId="29" borderId="20" xfId="0" applyNumberFormat="1" applyFont="1" applyFill="1" applyBorder="1" applyAlignment="1">
      <alignment horizontal="center"/>
    </xf>
    <xf numFmtId="41" fontId="5" fillId="14" borderId="3" xfId="0" applyNumberFormat="1" applyFont="1" applyFill="1" applyBorder="1" applyAlignment="1">
      <alignment horizontal="right" vertical="center"/>
    </xf>
    <xf numFmtId="41" fontId="5" fillId="14" borderId="5" xfId="0" applyNumberFormat="1" applyFont="1" applyFill="1" applyBorder="1" applyAlignment="1">
      <alignment horizontal="right" vertical="center"/>
    </xf>
    <xf numFmtId="0" fontId="16" fillId="2" borderId="0" xfId="0" applyNumberFormat="1" applyFont="1" applyFill="1" applyBorder="1" applyAlignment="1">
      <alignment horizontal="center" vertical="center"/>
    </xf>
    <xf numFmtId="0" fontId="2" fillId="4" borderId="8" xfId="2" applyNumberFormat="1" applyFont="1" applyFill="1" applyBorder="1" applyAlignment="1">
      <alignment horizontal="center" wrapText="1"/>
    </xf>
    <xf numFmtId="41" fontId="6" fillId="7" borderId="3" xfId="1" applyNumberFormat="1" applyFont="1" applyFill="1" applyBorder="1" applyAlignment="1">
      <alignment horizontal="center" vertical="center" wrapText="1"/>
    </xf>
    <xf numFmtId="41" fontId="6" fillId="7" borderId="5" xfId="1" applyNumberFormat="1" applyFont="1" applyFill="1" applyBorder="1" applyAlignment="1">
      <alignment horizontal="center" vertical="center" wrapText="1"/>
    </xf>
    <xf numFmtId="41" fontId="4" fillId="9" borderId="3" xfId="1" applyNumberFormat="1" applyFont="1" applyFill="1" applyBorder="1" applyAlignment="1">
      <alignment horizontal="right" vertical="center" wrapText="1"/>
    </xf>
    <xf numFmtId="41" fontId="4" fillId="9" borderId="5" xfId="1" applyNumberFormat="1" applyFont="1" applyFill="1" applyBorder="1" applyAlignment="1">
      <alignment horizontal="right" vertical="center" wrapText="1"/>
    </xf>
    <xf numFmtId="41" fontId="2" fillId="10" borderId="3" xfId="0" applyNumberFormat="1" applyFont="1" applyFill="1" applyBorder="1" applyAlignment="1">
      <alignment horizontal="right" vertical="center"/>
    </xf>
    <xf numFmtId="41" fontId="2" fillId="10" borderId="5" xfId="0" applyNumberFormat="1" applyFont="1" applyFill="1" applyBorder="1" applyAlignment="1">
      <alignment horizontal="right" vertical="center"/>
    </xf>
    <xf numFmtId="41" fontId="2" fillId="12" borderId="3" xfId="0" applyNumberFormat="1" applyFont="1" applyFill="1" applyBorder="1" applyAlignment="1">
      <alignment horizontal="right" vertical="center"/>
    </xf>
    <xf numFmtId="41" fontId="2" fillId="12" borderId="5" xfId="0" applyNumberFormat="1" applyFont="1" applyFill="1" applyBorder="1" applyAlignment="1">
      <alignment horizontal="right" vertical="center"/>
    </xf>
    <xf numFmtId="0" fontId="2" fillId="3" borderId="2" xfId="2" applyNumberFormat="1" applyFont="1" applyFill="1" applyBorder="1" applyAlignment="1">
      <alignment horizontal="center" vertical="center"/>
    </xf>
    <xf numFmtId="0" fontId="2" fillId="3" borderId="6" xfId="2" applyNumberFormat="1" applyFont="1" applyFill="1" applyBorder="1" applyAlignment="1">
      <alignment horizontal="center" vertical="center"/>
    </xf>
    <xf numFmtId="164" fontId="39" fillId="0" borderId="40" xfId="11" applyNumberFormat="1" applyFont="1" applyFill="1" applyBorder="1" applyAlignment="1">
      <alignment horizontal="center"/>
    </xf>
    <xf numFmtId="164" fontId="39" fillId="0" borderId="41" xfId="11" applyNumberFormat="1" applyFont="1" applyFill="1" applyBorder="1" applyAlignment="1">
      <alignment horizontal="center"/>
    </xf>
    <xf numFmtId="164" fontId="39" fillId="0" borderId="53" xfId="11" applyNumberFormat="1" applyFont="1" applyFill="1" applyBorder="1" applyAlignment="1">
      <alignment horizontal="center"/>
    </xf>
    <xf numFmtId="164" fontId="39" fillId="0" borderId="42" xfId="11" applyNumberFormat="1" applyFont="1" applyFill="1" applyBorder="1" applyAlignment="1">
      <alignment horizontal="center"/>
    </xf>
    <xf numFmtId="37" fontId="43" fillId="2" borderId="0" xfId="10" applyNumberFormat="1" applyFont="1" applyFill="1" applyBorder="1" applyAlignment="1">
      <alignment horizontal="center"/>
    </xf>
    <xf numFmtId="164" fontId="40" fillId="0" borderId="0" xfId="11" quotePrefix="1" applyNumberFormat="1" applyFont="1" applyFill="1" applyBorder="1" applyAlignment="1">
      <alignment wrapText="1"/>
    </xf>
    <xf numFmtId="164" fontId="40" fillId="0" borderId="0" xfId="11" applyNumberFormat="1" applyFont="1" applyFill="1" applyBorder="1" applyAlignment="1">
      <alignment wrapText="1"/>
    </xf>
    <xf numFmtId="164" fontId="39" fillId="0" borderId="40" xfId="11" applyNumberFormat="1" applyFont="1" applyFill="1" applyBorder="1" applyAlignment="1">
      <alignment horizontal="center" wrapText="1"/>
    </xf>
    <xf numFmtId="164" fontId="39" fillId="0" borderId="41" xfId="11" applyNumberFormat="1" applyFont="1" applyFill="1" applyBorder="1" applyAlignment="1">
      <alignment horizontal="center" wrapText="1"/>
    </xf>
    <xf numFmtId="164" fontId="39" fillId="0" borderId="53" xfId="11" applyNumberFormat="1" applyFont="1" applyFill="1" applyBorder="1" applyAlignment="1">
      <alignment horizontal="center" wrapText="1"/>
    </xf>
    <xf numFmtId="164" fontId="39" fillId="0" borderId="42" xfId="11" applyNumberFormat="1" applyFont="1" applyFill="1" applyBorder="1" applyAlignment="1">
      <alignment horizontal="center" wrapText="1"/>
    </xf>
    <xf numFmtId="37" fontId="39" fillId="2" borderId="50" xfId="10" applyNumberFormat="1" applyFont="1" applyFill="1" applyBorder="1" applyAlignment="1">
      <alignment horizontal="center"/>
    </xf>
    <xf numFmtId="37" fontId="39" fillId="2" borderId="48" xfId="10" applyNumberFormat="1" applyFont="1" applyFill="1" applyBorder="1" applyAlignment="1">
      <alignment horizontal="center"/>
    </xf>
    <xf numFmtId="165" fontId="45" fillId="2" borderId="18" xfId="14" applyNumberFormat="1" applyFont="1" applyFill="1" applyBorder="1" applyAlignment="1">
      <alignment horizontal="left" wrapText="1"/>
    </xf>
    <xf numFmtId="165" fontId="45" fillId="2" borderId="19" xfId="14" applyNumberFormat="1" applyFont="1" applyFill="1" applyBorder="1" applyAlignment="1">
      <alignment horizontal="left" wrapText="1"/>
    </xf>
    <xf numFmtId="165" fontId="40" fillId="0" borderId="60" xfId="15" applyNumberFormat="1" applyFont="1" applyFill="1" applyBorder="1" applyAlignment="1">
      <alignment horizontal="center"/>
    </xf>
    <xf numFmtId="165" fontId="40" fillId="0" borderId="61" xfId="15" applyNumberFormat="1" applyFont="1" applyFill="1" applyBorder="1" applyAlignment="1">
      <alignment horizontal="center"/>
    </xf>
    <xf numFmtId="165" fontId="40" fillId="0" borderId="62" xfId="15" applyNumberFormat="1" applyFont="1" applyFill="1" applyBorder="1" applyAlignment="1">
      <alignment horizontal="center"/>
    </xf>
    <xf numFmtId="165" fontId="40" fillId="0" borderId="60" xfId="15" applyNumberFormat="1" applyFont="1" applyFill="1" applyBorder="1" applyAlignment="1">
      <alignment horizontal="center" wrapText="1"/>
    </xf>
    <xf numFmtId="165" fontId="40" fillId="0" borderId="61" xfId="15" applyNumberFormat="1" applyFont="1" applyFill="1" applyBorder="1" applyAlignment="1">
      <alignment horizontal="center" wrapText="1"/>
    </xf>
    <xf numFmtId="165" fontId="40" fillId="0" borderId="62" xfId="15" applyNumberFormat="1" applyFont="1" applyFill="1" applyBorder="1" applyAlignment="1">
      <alignment horizontal="center" wrapText="1"/>
    </xf>
    <xf numFmtId="0" fontId="39" fillId="2" borderId="0" xfId="10" applyFont="1" applyFill="1" applyBorder="1" applyAlignment="1">
      <alignment horizontal="left" vertical="center" wrapText="1"/>
    </xf>
    <xf numFmtId="0" fontId="39" fillId="2" borderId="22" xfId="17" applyFont="1" applyFill="1" applyBorder="1" applyAlignment="1">
      <alignment horizontal="center" vertical="center"/>
    </xf>
    <xf numFmtId="0" fontId="39" fillId="2" borderId="16" xfId="17" applyFont="1" applyFill="1" applyBorder="1" applyAlignment="1">
      <alignment horizontal="center" vertical="center"/>
    </xf>
    <xf numFmtId="0" fontId="39" fillId="2" borderId="17" xfId="17" applyFont="1" applyFill="1" applyBorder="1" applyAlignment="1">
      <alignment horizontal="center" vertical="center"/>
    </xf>
    <xf numFmtId="43" fontId="39" fillId="2" borderId="63" xfId="15" applyFont="1" applyFill="1" applyBorder="1" applyAlignment="1">
      <alignment horizontal="center" vertical="center"/>
    </xf>
    <xf numFmtId="43" fontId="39" fillId="2" borderId="64" xfId="15" applyFont="1" applyFill="1" applyBorder="1" applyAlignment="1">
      <alignment horizontal="center" vertical="center"/>
    </xf>
    <xf numFmtId="0" fontId="39" fillId="2" borderId="63" xfId="17" applyFont="1" applyFill="1" applyBorder="1" applyAlignment="1">
      <alignment horizontal="center" vertical="center"/>
    </xf>
    <xf numFmtId="0" fontId="39" fillId="2" borderId="52" xfId="17" applyFont="1" applyFill="1" applyBorder="1" applyAlignment="1">
      <alignment horizontal="center" vertical="center"/>
    </xf>
    <xf numFmtId="0" fontId="39" fillId="2" borderId="51" xfId="17" applyFont="1" applyFill="1" applyBorder="1" applyAlignment="1">
      <alignment horizontal="center" vertical="center"/>
    </xf>
    <xf numFmtId="0" fontId="39" fillId="0" borderId="51" xfId="17" applyFont="1" applyFill="1" applyBorder="1" applyAlignment="1">
      <alignment horizontal="center" vertical="center"/>
    </xf>
    <xf numFmtId="0" fontId="39" fillId="0" borderId="52" xfId="17" applyFont="1" applyFill="1" applyBorder="1" applyAlignment="1">
      <alignment horizontal="center" vertical="center"/>
    </xf>
    <xf numFmtId="0" fontId="39" fillId="0" borderId="64" xfId="17" applyFont="1" applyFill="1" applyBorder="1" applyAlignment="1">
      <alignment horizontal="center" vertical="center"/>
    </xf>
    <xf numFmtId="0" fontId="39" fillId="2" borderId="55" xfId="17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31" fillId="0" borderId="0" xfId="0" applyFont="1" applyAlignment="1">
      <alignment horizontal="center"/>
    </xf>
  </cellXfs>
  <cellStyles count="20">
    <cellStyle name="Comma" xfId="1" builtinId="3"/>
    <cellStyle name="Comma 2" xfId="8"/>
    <cellStyle name="Comma 2 2" xfId="13"/>
    <cellStyle name="Comma 2 2 2" xfId="15"/>
    <cellStyle name="Comma 4 3" xfId="14"/>
    <cellStyle name="Currency" xfId="2" builtinId="4"/>
    <cellStyle name="Currency 11" xfId="11"/>
    <cellStyle name="Currency 2" xfId="4"/>
    <cellStyle name="Currency 3" xfId="7"/>
    <cellStyle name="Normal" xfId="0" builtinId="0"/>
    <cellStyle name="Normal 2" xfId="3"/>
    <cellStyle name="Normal 2 10 10" xfId="17"/>
    <cellStyle name="Normal 2 2" xfId="9"/>
    <cellStyle name="Normal 2_Portfolio Budget" xfId="19"/>
    <cellStyle name="Normal 3" xfId="6"/>
    <cellStyle name="Normal_Attachment 5A - Program Budget Workbook Dec22" xfId="10"/>
    <cellStyle name="Normal_DRAFT_June1Filing_v05_zap041705" xfId="12"/>
    <cellStyle name="Percent" xfId="5" builtinId="5"/>
    <cellStyle name="Percent 2" xfId="18"/>
    <cellStyle name="Percent 2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Third Party Portfolio (Budget in $Millions)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Graphs!$B$3</c:f>
              <c:strCache>
                <c:ptCount val="1"/>
                <c:pt idx="0">
                  <c:v>Industrial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Graphs!$C$2:$E$2</c:f>
              <c:numCache>
                <c:formatCode>0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Graphs!$C$3:$E$3</c:f>
              <c:numCache>
                <c:formatCode>0</c:formatCode>
                <c:ptCount val="3"/>
                <c:pt idx="0">
                  <c:v>21.625232318924521</c:v>
                </c:pt>
                <c:pt idx="1">
                  <c:v>21.736169761488835</c:v>
                </c:pt>
                <c:pt idx="2">
                  <c:v>22.017753492625229</c:v>
                </c:pt>
              </c:numCache>
            </c:numRef>
          </c:val>
        </c:ser>
        <c:ser>
          <c:idx val="1"/>
          <c:order val="1"/>
          <c:tx>
            <c:strRef>
              <c:f>Graphs!$B$4</c:f>
              <c:strCache>
                <c:ptCount val="1"/>
                <c:pt idx="0">
                  <c:v>Commercial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Graphs!$C$2:$E$2</c:f>
              <c:numCache>
                <c:formatCode>0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Graphs!$C$4:$E$4</c:f>
              <c:numCache>
                <c:formatCode>0</c:formatCode>
                <c:ptCount val="3"/>
                <c:pt idx="0">
                  <c:v>64.730517748499281</c:v>
                </c:pt>
                <c:pt idx="1">
                  <c:v>76.285931687809949</c:v>
                </c:pt>
                <c:pt idx="2">
                  <c:v>88.77350251229096</c:v>
                </c:pt>
              </c:numCache>
            </c:numRef>
          </c:val>
        </c:ser>
        <c:ser>
          <c:idx val="2"/>
          <c:order val="2"/>
          <c:tx>
            <c:strRef>
              <c:f>Graphs!$B$5</c:f>
              <c:strCache>
                <c:ptCount val="1"/>
                <c:pt idx="0">
                  <c:v>Agricultural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Graphs!$C$2:$E$2</c:f>
              <c:numCache>
                <c:formatCode>0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Graphs!$C$5:$E$5</c:f>
              <c:numCache>
                <c:formatCode>0</c:formatCode>
                <c:ptCount val="3"/>
                <c:pt idx="0">
                  <c:v>2.2657369231676729</c:v>
                </c:pt>
                <c:pt idx="1">
                  <c:v>2.3000393555935563</c:v>
                </c:pt>
                <c:pt idx="2">
                  <c:v>2.3793670044874142</c:v>
                </c:pt>
              </c:numCache>
            </c:numRef>
          </c:val>
        </c:ser>
        <c:ser>
          <c:idx val="3"/>
          <c:order val="3"/>
          <c:tx>
            <c:strRef>
              <c:f>Graphs!$B$6</c:f>
              <c:strCache>
                <c:ptCount val="1"/>
                <c:pt idx="0">
                  <c:v>Residential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Graphs!$C$2:$E$2</c:f>
              <c:numCache>
                <c:formatCode>0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Graphs!$C$6:$E$6</c:f>
              <c:numCache>
                <c:formatCode>0</c:formatCode>
                <c:ptCount val="3"/>
                <c:pt idx="0">
                  <c:v>18.503589999999999</c:v>
                </c:pt>
                <c:pt idx="1">
                  <c:v>32.868006999999999</c:v>
                </c:pt>
                <c:pt idx="2">
                  <c:v>51.163738000000002</c:v>
                </c:pt>
              </c:numCache>
            </c:numRef>
          </c:val>
        </c:ser>
        <c:ser>
          <c:idx val="4"/>
          <c:order val="4"/>
          <c:tx>
            <c:strRef>
              <c:f>Graphs!$B$7</c:f>
              <c:strCache>
                <c:ptCount val="1"/>
                <c:pt idx="0">
                  <c:v>Public Sector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Graphs!$C$2:$E$2</c:f>
              <c:numCache>
                <c:formatCode>0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Graphs!$C$7:$E$7</c:f>
              <c:numCache>
                <c:formatCode>0</c:formatCode>
                <c:ptCount val="3"/>
                <c:pt idx="0">
                  <c:v>2.4963009529516018</c:v>
                </c:pt>
                <c:pt idx="1">
                  <c:v>2.4963009529516018</c:v>
                </c:pt>
                <c:pt idx="2">
                  <c:v>2.4963009529516018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144128"/>
        <c:axId val="42145664"/>
      </c:barChart>
      <c:catAx>
        <c:axId val="4214412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145664"/>
        <c:crossesAt val="0"/>
        <c:auto val="1"/>
        <c:lblAlgn val="ctr"/>
        <c:lblOffset val="100"/>
        <c:noMultiLvlLbl val="0"/>
      </c:catAx>
      <c:valAx>
        <c:axId val="42145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144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Third Party</a:t>
            </a:r>
            <a:r>
              <a:rPr lang="en-US" baseline="0"/>
              <a:t> Portfolio 2020 Estimates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Graphs!$B$35:$B$39</c:f>
              <c:strCache>
                <c:ptCount val="5"/>
                <c:pt idx="0">
                  <c:v>Industrial</c:v>
                </c:pt>
                <c:pt idx="1">
                  <c:v>Commercial</c:v>
                </c:pt>
                <c:pt idx="2">
                  <c:v>Agricultural</c:v>
                </c:pt>
                <c:pt idx="3">
                  <c:v>Residential</c:v>
                </c:pt>
                <c:pt idx="4">
                  <c:v>Public Sector</c:v>
                </c:pt>
              </c:strCache>
            </c:strRef>
          </c:cat>
          <c:val>
            <c:numRef>
              <c:f>Graphs!$C$35:$C$39</c:f>
              <c:numCache>
                <c:formatCode>0%</c:formatCode>
                <c:ptCount val="5"/>
                <c:pt idx="0">
                  <c:v>0.11132022491854647</c:v>
                </c:pt>
                <c:pt idx="1">
                  <c:v>0.46486099643535056</c:v>
                </c:pt>
                <c:pt idx="2">
                  <c:v>1.4664518715809347E-2</c:v>
                </c:pt>
                <c:pt idx="3">
                  <c:v>0.31794476351440981</c:v>
                </c:pt>
                <c:pt idx="4">
                  <c:v>9.120949641588387E-2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8413875840627212"/>
          <c:y val="0.19771375770253344"/>
          <c:w val="0.17325801013070791"/>
          <c:h val="0.445914752016689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Third Party Budget Compared</a:t>
            </a:r>
            <a:r>
              <a:rPr lang="en-US" baseline="0"/>
              <a:t> to Portfolio Budget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Graphs!$C$61</c:f>
              <c:strCache>
                <c:ptCount val="1"/>
                <c:pt idx="0">
                  <c:v>2018 3P Budget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Graphs!$D$61</c:f>
              <c:numCache>
                <c:formatCode>0%</c:formatCode>
                <c:ptCount val="1"/>
                <c:pt idx="0">
                  <c:v>0.39652441606022903</c:v>
                </c:pt>
              </c:numCache>
            </c:numRef>
          </c:val>
        </c:ser>
        <c:ser>
          <c:idx val="1"/>
          <c:order val="1"/>
          <c:tx>
            <c:strRef>
              <c:f>Graphs!$C$62</c:f>
              <c:strCache>
                <c:ptCount val="1"/>
                <c:pt idx="0">
                  <c:v>2019 3P Budget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Graphs!$D$62</c:f>
              <c:numCache>
                <c:formatCode>0%</c:formatCode>
                <c:ptCount val="1"/>
                <c:pt idx="0">
                  <c:v>0.49024836894719226</c:v>
                </c:pt>
              </c:numCache>
            </c:numRef>
          </c:val>
        </c:ser>
        <c:ser>
          <c:idx val="2"/>
          <c:order val="2"/>
          <c:tx>
            <c:strRef>
              <c:f>Graphs!$C$63</c:f>
              <c:strCache>
                <c:ptCount val="1"/>
                <c:pt idx="0">
                  <c:v>2020 3P Budget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Graphs!$D$63</c:f>
              <c:numCache>
                <c:formatCode>0%</c:formatCode>
                <c:ptCount val="1"/>
                <c:pt idx="0">
                  <c:v>0.60199615892780223</c:v>
                </c:pt>
              </c:numCache>
            </c:numRef>
          </c:val>
        </c:ser>
        <c:ser>
          <c:idx val="3"/>
          <c:order val="3"/>
          <c:tx>
            <c:strRef>
              <c:f>Graphs!$C$64</c:f>
              <c:strCache>
                <c:ptCount val="1"/>
                <c:pt idx="0">
                  <c:v>Total Portfolio Budget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Graphs!$D$64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3833088"/>
        <c:axId val="73847168"/>
      </c:barChart>
      <c:catAx>
        <c:axId val="73833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847168"/>
        <c:crosses val="autoZero"/>
        <c:auto val="1"/>
        <c:lblAlgn val="ctr"/>
        <c:lblOffset val="100"/>
        <c:noMultiLvlLbl val="0"/>
      </c:catAx>
      <c:valAx>
        <c:axId val="73847168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833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312420</xdr:colOff>
      <xdr:row>6</xdr:row>
      <xdr:rowOff>38100</xdr:rowOff>
    </xdr:from>
    <xdr:to>
      <xdr:col>16</xdr:col>
      <xdr:colOff>129540</xdr:colOff>
      <xdr:row>29</xdr:row>
      <xdr:rowOff>106680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152400</xdr:colOff>
      <xdr:row>31</xdr:row>
      <xdr:rowOff>129540</xdr:rowOff>
    </xdr:from>
    <xdr:to>
      <xdr:col>14</xdr:col>
      <xdr:colOff>601980</xdr:colOff>
      <xdr:row>51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342900</xdr:colOff>
      <xdr:row>56</xdr:row>
      <xdr:rowOff>38100</xdr:rowOff>
    </xdr:from>
    <xdr:to>
      <xdr:col>14</xdr:col>
      <xdr:colOff>68580</xdr:colOff>
      <xdr:row>74</xdr:row>
      <xdr:rowOff>53340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ee1/Documents/Eric/Annual%20Planning/2017%20EE%20Planning/Financial%20Tracking%20-%205_31_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EDARS/CEDARS%20FM/Jeff%20Hirsch%20spec%20review/Finals/Appendix%20B_2017Budget%20and%20Savings%20Tables_2016-08-16f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rwitmj/Documents/DSM/DSM%20Strategic%20Planning/2017%20Goal%20and%20App/Business%20Plan/2018%20Goal%20Planning/CETResults_2018%20BP%20Final%20with%20Inputs%20v1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unnrf/Documents/2017%20Budget%20for%20BP/2017-18%20Annual%20Budget%20Filing%20Template%20101416%20Avoided%20Cost%20Update_SECTOR%20BUDGETS%202018-2024_3P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unnrf/Documents/2017%20Budget%20for%20BP/SCE%202015-2017%20SW%20Budget%20%20Savings%2011-15-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ls"/>
      <sheetName val="DateSelect"/>
      <sheetName val="EE_Expenditures"/>
      <sheetName val="Finances_Pipeline"/>
    </sheetNames>
    <sheetDataSet>
      <sheetData sheetId="0" refreshError="1"/>
      <sheetData sheetId="1">
        <row r="6">
          <cell r="A6" t="str">
            <v>Apr 30 2016</v>
          </cell>
        </row>
      </sheetData>
      <sheetData sheetId="2" refreshError="1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ition of Terms"/>
      <sheetName val="App B.1 Budget"/>
      <sheetName val="App B.2 Savings"/>
      <sheetName val="App B.3 Spending and Carryover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tor Budget"/>
      <sheetName val="InputProgram"/>
      <sheetName val="Incentive Budgets"/>
      <sheetName val="InputMeasure"/>
      <sheetName val="JobResults"/>
      <sheetName val="Summary"/>
      <sheetName val="ProgramResults"/>
      <sheetName val="MeasureResults"/>
      <sheetName val="ValidationSummary"/>
      <sheetName val="ValidationMessages"/>
      <sheetName val="Validation Dictionary"/>
      <sheetName val="Data Dictionary"/>
      <sheetName val="Valid Avoided Cost Lookup"/>
      <sheetName val="Version"/>
    </sheetNames>
    <sheetDataSet>
      <sheetData sheetId="0">
        <row r="17">
          <cell r="G17">
            <v>29467206.147912901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tor Budgets 2018-2024"/>
      <sheetName val="CIA 3P Admin"/>
      <sheetName val="2018 Subprogram Est."/>
      <sheetName val="Eric's Analysis"/>
    </sheetNames>
    <sheetDataSet>
      <sheetData sheetId="0"/>
      <sheetData sheetId="1"/>
      <sheetData sheetId="2">
        <row r="128">
          <cell r="O128">
            <v>278831541.16902226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"/>
      <sheetName val="Savings"/>
      <sheetName val="App B.1 Budget"/>
      <sheetName val="App B.2 Savings"/>
    </sheetNames>
    <sheetDataSet>
      <sheetData sheetId="0"/>
      <sheetData sheetId="1"/>
      <sheetData sheetId="2">
        <row r="9">
          <cell r="D9">
            <v>530637</v>
          </cell>
          <cell r="F9">
            <v>530637</v>
          </cell>
          <cell r="G9">
            <v>380232</v>
          </cell>
          <cell r="H9">
            <v>2037129</v>
          </cell>
          <cell r="J9">
            <v>2037129</v>
          </cell>
          <cell r="K9">
            <v>782370</v>
          </cell>
          <cell r="L9">
            <v>2207728</v>
          </cell>
          <cell r="N9">
            <v>2207728</v>
          </cell>
          <cell r="O9">
            <v>1200892</v>
          </cell>
          <cell r="P9">
            <v>9179750</v>
          </cell>
          <cell r="R9">
            <v>9179750</v>
          </cell>
          <cell r="S9">
            <v>4581050</v>
          </cell>
        </row>
        <row r="12">
          <cell r="D12">
            <v>191869</v>
          </cell>
          <cell r="F12">
            <v>191869</v>
          </cell>
          <cell r="G12">
            <v>0</v>
          </cell>
          <cell r="H12">
            <v>217790</v>
          </cell>
          <cell r="J12">
            <v>217790</v>
          </cell>
          <cell r="K12">
            <v>0</v>
          </cell>
          <cell r="L12">
            <v>2044530</v>
          </cell>
          <cell r="N12">
            <v>2044530</v>
          </cell>
          <cell r="O12">
            <v>0</v>
          </cell>
          <cell r="P12">
            <v>2680002</v>
          </cell>
          <cell r="R12">
            <v>2680002</v>
          </cell>
          <cell r="S12">
            <v>0</v>
          </cell>
        </row>
        <row r="13">
          <cell r="D13">
            <v>440538</v>
          </cell>
          <cell r="F13">
            <v>440538</v>
          </cell>
          <cell r="G13">
            <v>350000</v>
          </cell>
          <cell r="H13">
            <v>408283</v>
          </cell>
          <cell r="J13">
            <v>408283</v>
          </cell>
          <cell r="K13">
            <v>0</v>
          </cell>
          <cell r="L13">
            <v>758186</v>
          </cell>
          <cell r="N13">
            <v>758186</v>
          </cell>
          <cell r="O13">
            <v>0</v>
          </cell>
          <cell r="P13">
            <v>2644222.2200000002</v>
          </cell>
          <cell r="R13">
            <v>2644222.2200000002</v>
          </cell>
          <cell r="S13">
            <v>0</v>
          </cell>
        </row>
        <row r="21">
          <cell r="D21">
            <v>906082</v>
          </cell>
          <cell r="F21">
            <v>906082</v>
          </cell>
          <cell r="G21">
            <v>1386284</v>
          </cell>
          <cell r="H21">
            <v>105951</v>
          </cell>
          <cell r="J21">
            <v>105951</v>
          </cell>
          <cell r="K21">
            <v>97405</v>
          </cell>
          <cell r="L21">
            <v>12650226</v>
          </cell>
          <cell r="N21">
            <v>12650226</v>
          </cell>
          <cell r="O21">
            <v>10061777</v>
          </cell>
          <cell r="P21">
            <v>20425676</v>
          </cell>
          <cell r="R21">
            <v>20425676</v>
          </cell>
          <cell r="S21">
            <v>15742397</v>
          </cell>
        </row>
        <row r="22">
          <cell r="D22">
            <v>401068</v>
          </cell>
          <cell r="F22">
            <v>401068</v>
          </cell>
          <cell r="G22">
            <v>431142</v>
          </cell>
          <cell r="H22">
            <v>101050</v>
          </cell>
          <cell r="J22">
            <v>101050</v>
          </cell>
          <cell r="K22">
            <v>20027</v>
          </cell>
          <cell r="L22">
            <v>3042273</v>
          </cell>
          <cell r="N22">
            <v>3042273</v>
          </cell>
          <cell r="O22">
            <v>2871722</v>
          </cell>
          <cell r="P22">
            <v>5194837</v>
          </cell>
          <cell r="R22">
            <v>5194837</v>
          </cell>
          <cell r="S22">
            <v>5129124</v>
          </cell>
        </row>
        <row r="35">
          <cell r="D35">
            <v>49635</v>
          </cell>
          <cell r="F35">
            <v>49635</v>
          </cell>
          <cell r="G35">
            <v>93024</v>
          </cell>
          <cell r="H35">
            <v>0</v>
          </cell>
          <cell r="J35">
            <v>0</v>
          </cell>
          <cell r="K35">
            <v>0</v>
          </cell>
          <cell r="L35">
            <v>266610</v>
          </cell>
          <cell r="N35">
            <v>266610</v>
          </cell>
          <cell r="O35">
            <v>0</v>
          </cell>
          <cell r="P35">
            <v>0</v>
          </cell>
          <cell r="R35">
            <v>0</v>
          </cell>
          <cell r="S35">
            <v>0</v>
          </cell>
        </row>
        <row r="36">
          <cell r="D36">
            <v>608440</v>
          </cell>
          <cell r="F36">
            <v>608440</v>
          </cell>
          <cell r="G36">
            <v>0</v>
          </cell>
          <cell r="H36">
            <v>164458</v>
          </cell>
          <cell r="J36">
            <v>164458</v>
          </cell>
          <cell r="K36">
            <v>0</v>
          </cell>
          <cell r="L36">
            <v>3765540</v>
          </cell>
          <cell r="N36">
            <v>3765540</v>
          </cell>
          <cell r="O36">
            <v>0</v>
          </cell>
          <cell r="P36">
            <v>2274541</v>
          </cell>
          <cell r="R36">
            <v>2274541</v>
          </cell>
          <cell r="S36">
            <v>0</v>
          </cell>
        </row>
        <row r="37">
          <cell r="D37">
            <v>322978</v>
          </cell>
          <cell r="F37">
            <v>322978</v>
          </cell>
          <cell r="G37">
            <v>2261715</v>
          </cell>
          <cell r="H37">
            <v>195917</v>
          </cell>
          <cell r="J37">
            <v>195917</v>
          </cell>
          <cell r="K37">
            <v>0</v>
          </cell>
          <cell r="L37">
            <v>1470808</v>
          </cell>
          <cell r="N37">
            <v>1470808</v>
          </cell>
          <cell r="O37">
            <v>1930782</v>
          </cell>
          <cell r="P37">
            <v>26135312</v>
          </cell>
          <cell r="R37">
            <v>26135312</v>
          </cell>
          <cell r="S37">
            <v>47038741</v>
          </cell>
        </row>
        <row r="44">
          <cell r="D44">
            <v>330450</v>
          </cell>
          <cell r="F44">
            <v>330450</v>
          </cell>
          <cell r="G44">
            <v>148118.67460970031</v>
          </cell>
          <cell r="H44">
            <v>0</v>
          </cell>
          <cell r="J44">
            <v>0</v>
          </cell>
          <cell r="K44">
            <v>0</v>
          </cell>
          <cell r="L44">
            <v>1408794</v>
          </cell>
          <cell r="N44">
            <v>1408794</v>
          </cell>
          <cell r="O44">
            <v>1499037.5694191302</v>
          </cell>
          <cell r="P44">
            <v>0</v>
          </cell>
          <cell r="R44">
            <v>0</v>
          </cell>
          <cell r="S44">
            <v>0</v>
          </cell>
        </row>
        <row r="45">
          <cell r="D45">
            <v>330450</v>
          </cell>
          <cell r="F45">
            <v>330450</v>
          </cell>
          <cell r="G45">
            <v>148118.67460970031</v>
          </cell>
          <cell r="H45">
            <v>0</v>
          </cell>
          <cell r="J45">
            <v>0</v>
          </cell>
          <cell r="K45">
            <v>0</v>
          </cell>
          <cell r="L45">
            <v>1408794</v>
          </cell>
          <cell r="N45">
            <v>1408794</v>
          </cell>
          <cell r="O45">
            <v>1499037.5694191302</v>
          </cell>
          <cell r="P45">
            <v>0</v>
          </cell>
          <cell r="R45">
            <v>0</v>
          </cell>
          <cell r="S45">
            <v>0</v>
          </cell>
        </row>
        <row r="49">
          <cell r="D49">
            <v>2041021</v>
          </cell>
          <cell r="F49">
            <v>2041021</v>
          </cell>
          <cell r="G49">
            <v>487569</v>
          </cell>
          <cell r="H49">
            <v>102071</v>
          </cell>
          <cell r="J49">
            <v>102071</v>
          </cell>
          <cell r="K49">
            <v>103009</v>
          </cell>
          <cell r="L49">
            <v>8178838</v>
          </cell>
          <cell r="N49">
            <v>8178838</v>
          </cell>
          <cell r="O49">
            <v>6885909</v>
          </cell>
          <cell r="P49">
            <v>446250</v>
          </cell>
          <cell r="R49">
            <v>446250</v>
          </cell>
          <cell r="S49">
            <v>0</v>
          </cell>
        </row>
        <row r="53">
          <cell r="D53">
            <v>1516167</v>
          </cell>
          <cell r="F53">
            <v>1516167</v>
          </cell>
          <cell r="G53">
            <v>291187</v>
          </cell>
          <cell r="H53">
            <v>303808</v>
          </cell>
          <cell r="J53">
            <v>303808</v>
          </cell>
          <cell r="K53">
            <v>0</v>
          </cell>
          <cell r="L53">
            <v>7255450</v>
          </cell>
          <cell r="N53">
            <v>7255450</v>
          </cell>
          <cell r="O53">
            <v>4553918</v>
          </cell>
          <cell r="P53">
            <v>89231</v>
          </cell>
          <cell r="R53">
            <v>89231</v>
          </cell>
          <cell r="S53">
            <v>0</v>
          </cell>
        </row>
        <row r="87">
          <cell r="D87">
            <v>135620</v>
          </cell>
          <cell r="F87">
            <v>135620</v>
          </cell>
          <cell r="G87">
            <v>181997</v>
          </cell>
          <cell r="H87">
            <v>34704</v>
          </cell>
          <cell r="J87">
            <v>34704</v>
          </cell>
          <cell r="K87">
            <v>0</v>
          </cell>
          <cell r="L87">
            <v>1480007</v>
          </cell>
          <cell r="N87">
            <v>1480007</v>
          </cell>
          <cell r="O87">
            <v>1125197</v>
          </cell>
          <cell r="P87">
            <v>1424834</v>
          </cell>
          <cell r="R87">
            <v>1424834</v>
          </cell>
          <cell r="S87">
            <v>1154910</v>
          </cell>
        </row>
        <row r="88">
          <cell r="D88">
            <v>71879</v>
          </cell>
          <cell r="F88">
            <v>71879</v>
          </cell>
          <cell r="G88">
            <v>93599</v>
          </cell>
          <cell r="H88">
            <v>510</v>
          </cell>
          <cell r="J88">
            <v>510</v>
          </cell>
          <cell r="K88">
            <v>0</v>
          </cell>
          <cell r="L88">
            <v>159440</v>
          </cell>
          <cell r="N88">
            <v>159440</v>
          </cell>
          <cell r="O88">
            <v>352942</v>
          </cell>
          <cell r="P88">
            <v>412338</v>
          </cell>
          <cell r="R88">
            <v>412338</v>
          </cell>
          <cell r="S88">
            <v>605767</v>
          </cell>
        </row>
        <row r="89">
          <cell r="D89">
            <v>89057</v>
          </cell>
          <cell r="F89">
            <v>89057</v>
          </cell>
          <cell r="G89">
            <v>89195</v>
          </cell>
          <cell r="H89">
            <v>766</v>
          </cell>
          <cell r="J89">
            <v>766</v>
          </cell>
          <cell r="K89">
            <v>0</v>
          </cell>
          <cell r="L89">
            <v>241402</v>
          </cell>
          <cell r="N89">
            <v>241402</v>
          </cell>
          <cell r="O89">
            <v>365955</v>
          </cell>
          <cell r="P89">
            <v>413562</v>
          </cell>
          <cell r="R89">
            <v>413562</v>
          </cell>
          <cell r="S89">
            <v>212909</v>
          </cell>
        </row>
        <row r="90">
          <cell r="D90">
            <v>336532</v>
          </cell>
          <cell r="F90">
            <v>336532</v>
          </cell>
          <cell r="G90">
            <v>154611</v>
          </cell>
          <cell r="H90">
            <v>86760</v>
          </cell>
          <cell r="J90">
            <v>86760</v>
          </cell>
          <cell r="K90">
            <v>61473</v>
          </cell>
          <cell r="L90">
            <v>1395388</v>
          </cell>
          <cell r="N90">
            <v>1395388</v>
          </cell>
          <cell r="O90">
            <v>1113465</v>
          </cell>
          <cell r="P90">
            <v>2564708</v>
          </cell>
          <cell r="R90">
            <v>2564708</v>
          </cell>
          <cell r="S90">
            <v>1134893</v>
          </cell>
        </row>
        <row r="131">
          <cell r="J131">
            <v>6100000</v>
          </cell>
          <cell r="K131">
            <v>6100000</v>
          </cell>
        </row>
      </sheetData>
      <sheetData sheetId="3">
        <row r="9">
          <cell r="D9">
            <v>45052108.722600006</v>
          </cell>
          <cell r="F9">
            <v>25377951.926845998</v>
          </cell>
          <cell r="G9">
            <v>19851597.678371102</v>
          </cell>
          <cell r="I9">
            <v>10693.130970000004</v>
          </cell>
          <cell r="K9">
            <v>6933.2583109282368</v>
          </cell>
          <cell r="L9">
            <v>8725.5422750057696</v>
          </cell>
        </row>
        <row r="12">
          <cell r="D12">
            <v>1469486.9456660824</v>
          </cell>
          <cell r="F12">
            <v>530532.09284923703</v>
          </cell>
          <cell r="G12">
            <v>0</v>
          </cell>
          <cell r="I12">
            <v>1650.8318807896005</v>
          </cell>
          <cell r="K12">
            <v>247.11282417301328</v>
          </cell>
          <cell r="L12">
            <v>0</v>
          </cell>
        </row>
        <row r="13">
          <cell r="D13">
            <v>800887.86</v>
          </cell>
          <cell r="F13">
            <v>2722072.29</v>
          </cell>
          <cell r="G13">
            <v>0</v>
          </cell>
          <cell r="I13">
            <v>1418.08866143508</v>
          </cell>
          <cell r="K13">
            <v>2690.42</v>
          </cell>
          <cell r="L13">
            <v>0</v>
          </cell>
        </row>
        <row r="21">
          <cell r="D21">
            <v>46658861.005330384</v>
          </cell>
          <cell r="F21">
            <v>35108704.694896109</v>
          </cell>
          <cell r="G21">
            <v>28470220.277424701</v>
          </cell>
          <cell r="I21">
            <v>13555.032645928148</v>
          </cell>
          <cell r="K21">
            <v>13245.104895104892</v>
          </cell>
          <cell r="L21">
            <v>10755.3582563046</v>
          </cell>
        </row>
        <row r="22">
          <cell r="D22">
            <v>38669944.761878654</v>
          </cell>
          <cell r="F22">
            <v>36394504.359999999</v>
          </cell>
          <cell r="G22">
            <v>39362643.575999998</v>
          </cell>
          <cell r="I22">
            <v>6905.3116470313498</v>
          </cell>
          <cell r="K22">
            <v>7565.3130000000001</v>
          </cell>
          <cell r="L22">
            <v>6569.8919999999998</v>
          </cell>
        </row>
        <row r="35">
          <cell r="D35">
            <v>0</v>
          </cell>
          <cell r="F35">
            <v>0</v>
          </cell>
          <cell r="G35">
            <v>0</v>
          </cell>
          <cell r="I35">
            <v>0</v>
          </cell>
          <cell r="K35">
            <v>0</v>
          </cell>
          <cell r="L35">
            <v>0</v>
          </cell>
        </row>
        <row r="36">
          <cell r="D36">
            <v>20022094.435077991</v>
          </cell>
          <cell r="F36">
            <v>0</v>
          </cell>
          <cell r="G36">
            <v>0</v>
          </cell>
          <cell r="I36">
            <v>4549.7399260000011</v>
          </cell>
          <cell r="K36">
            <v>0</v>
          </cell>
          <cell r="L36">
            <v>0</v>
          </cell>
        </row>
        <row r="37">
          <cell r="D37">
            <v>202034959.44362634</v>
          </cell>
          <cell r="F37">
            <v>207674803.18465415</v>
          </cell>
          <cell r="G37">
            <v>226616830.55536199</v>
          </cell>
          <cell r="I37">
            <v>32025.696233704872</v>
          </cell>
          <cell r="K37">
            <v>30125.964278808537</v>
          </cell>
          <cell r="L37">
            <v>35148.887590881197</v>
          </cell>
        </row>
        <row r="44">
          <cell r="D44">
            <v>291495892.81594473</v>
          </cell>
          <cell r="F44">
            <v>619000000</v>
          </cell>
          <cell r="G44">
            <v>660569233.53682208</v>
          </cell>
          <cell r="I44">
            <v>45576.501171751064</v>
          </cell>
          <cell r="K44">
            <v>144000</v>
          </cell>
          <cell r="L44">
            <v>128584.95746406852</v>
          </cell>
        </row>
        <row r="45">
          <cell r="D45">
            <v>0</v>
          </cell>
          <cell r="F45">
            <v>0</v>
          </cell>
          <cell r="G45">
            <v>0</v>
          </cell>
          <cell r="I45">
            <v>0</v>
          </cell>
          <cell r="K45">
            <v>0</v>
          </cell>
          <cell r="L45">
            <v>0</v>
          </cell>
        </row>
        <row r="49">
          <cell r="D49">
            <v>0</v>
          </cell>
          <cell r="F49">
            <v>0</v>
          </cell>
          <cell r="G49">
            <v>0</v>
          </cell>
          <cell r="I49">
            <v>0</v>
          </cell>
          <cell r="K49">
            <v>0</v>
          </cell>
          <cell r="L49">
            <v>0</v>
          </cell>
        </row>
        <row r="53">
          <cell r="D53">
            <v>964344.73434823984</v>
          </cell>
          <cell r="F53">
            <v>163762.71697900002</v>
          </cell>
          <cell r="G53">
            <v>0</v>
          </cell>
          <cell r="I53">
            <v>162.12795795999995</v>
          </cell>
          <cell r="K53">
            <v>34.517254000000001</v>
          </cell>
          <cell r="L53">
            <v>0</v>
          </cell>
        </row>
        <row r="87">
          <cell r="D87">
            <v>5850000</v>
          </cell>
          <cell r="F87">
            <v>6114633.3499999996</v>
          </cell>
          <cell r="G87">
            <v>3831333.3</v>
          </cell>
          <cell r="I87">
            <v>1067.4042885306567</v>
          </cell>
          <cell r="K87">
            <v>807.95500000000004</v>
          </cell>
          <cell r="L87">
            <v>790.79053196291204</v>
          </cell>
        </row>
        <row r="88">
          <cell r="D88">
            <v>1526005.6735</v>
          </cell>
          <cell r="F88">
            <v>2842862.4</v>
          </cell>
          <cell r="G88">
            <v>2409031.7999999998</v>
          </cell>
          <cell r="I88">
            <v>92.452627735161258</v>
          </cell>
          <cell r="K88">
            <v>0</v>
          </cell>
          <cell r="L88">
            <v>34.873739999999998</v>
          </cell>
        </row>
        <row r="89">
          <cell r="D89">
            <v>1900011.3470000001</v>
          </cell>
          <cell r="F89">
            <v>681107.75063999998</v>
          </cell>
          <cell r="G89">
            <v>970039.97615999996</v>
          </cell>
          <cell r="I89">
            <v>325.89549207958873</v>
          </cell>
          <cell r="K89">
            <v>103.076331</v>
          </cell>
          <cell r="L89">
            <v>175.22158703939999</v>
          </cell>
        </row>
        <row r="90">
          <cell r="D90">
            <v>10254612.977493493</v>
          </cell>
          <cell r="F90">
            <v>5509227.7586500002</v>
          </cell>
          <cell r="G90">
            <v>4025880</v>
          </cell>
          <cell r="I90">
            <v>1346.5147712291973</v>
          </cell>
          <cell r="K90">
            <v>702.90789999999993</v>
          </cell>
          <cell r="L90">
            <v>466.75363292512498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e1" displayName="Table1" ref="A1:C2" totalsRowShown="0">
  <tableColumns count="3">
    <tableColumn id="1" name="2018 Commercial Offerings"/>
    <tableColumn id="2" name="TP"/>
    <tableColumn id="3" name="Non-TP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id="2" name="Table13" displayName="Table13" ref="E1:G2" totalsRowShown="0">
  <tableColumns count="3">
    <tableColumn id="1" name="2018 Industrial Offerings"/>
    <tableColumn id="2" name="TP"/>
    <tableColumn id="3" name="Non-TP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id="3" name="Table14" displayName="Table14" ref="I1:K2" totalsRowShown="0">
  <tableColumns count="3">
    <tableColumn id="1" name="2018 Agricultural Offerings"/>
    <tableColumn id="2" name="TP"/>
    <tableColumn id="3" name="Non-TP"/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id="4" name="Table4" displayName="Table4" ref="A5:C7" totalsRowShown="0">
  <tableColumns count="3">
    <tableColumn id="1" name="2019-2020 Commercial Offerings"/>
    <tableColumn id="2" name="TP"/>
    <tableColumn id="3" name="Non-TP"/>
  </tableColumns>
  <tableStyleInfo name="TableStyleLight8" showFirstColumn="0" showLastColumn="0" showRowStripes="1" showColumnStripes="0"/>
</table>
</file>

<file path=xl/tables/table5.xml><?xml version="1.0" encoding="utf-8"?>
<table xmlns="http://schemas.openxmlformats.org/spreadsheetml/2006/main" id="5" name="Table46" displayName="Table46" ref="E5:G7" totalsRowShown="0">
  <tableColumns count="3">
    <tableColumn id="1" name="2019-2020 Industrial Offerings"/>
    <tableColumn id="2" name="TP"/>
    <tableColumn id="3" name="Non-TP"/>
  </tableColumns>
  <tableStyleInfo name="TableStyleLight8" showFirstColumn="0" showLastColumn="0" showRowStripes="1" showColumnStripes="0"/>
</table>
</file>

<file path=xl/tables/table6.xml><?xml version="1.0" encoding="utf-8"?>
<table xmlns="http://schemas.openxmlformats.org/spreadsheetml/2006/main" id="6" name="Table47" displayName="Table47" ref="I5:K7" totalsRowShown="0">
  <tableColumns count="3">
    <tableColumn id="1" name="2019-2020 Agricultural Offerings"/>
    <tableColumn id="2" name="TP"/>
    <tableColumn id="3" name="Non-TP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36"/>
  <sheetViews>
    <sheetView topLeftCell="A30" zoomScale="85" zoomScaleNormal="85" workbookViewId="0">
      <pane xSplit="2" topLeftCell="C1" activePane="topRight" state="frozen"/>
      <selection activeCell="B1" sqref="B1"/>
      <selection pane="topRight" activeCell="M76" sqref="M76"/>
    </sheetView>
  </sheetViews>
  <sheetFormatPr defaultColWidth="9.77734375" defaultRowHeight="10.199999999999999" x14ac:dyDescent="0.2"/>
  <cols>
    <col min="1" max="1" width="9.77734375" style="452" customWidth="1"/>
    <col min="2" max="2" width="22.33203125" style="452" customWidth="1"/>
    <col min="3" max="3" width="57.33203125" style="452" bestFit="1" customWidth="1"/>
    <col min="4" max="4" width="14.21875" style="452" bestFit="1" customWidth="1"/>
    <col min="5" max="5" width="13.44140625" style="452" bestFit="1" customWidth="1"/>
    <col min="6" max="6" width="12" style="452" customWidth="1"/>
    <col min="7" max="7" width="13.44140625" style="452" bestFit="1" customWidth="1"/>
    <col min="8" max="9" width="12" style="452" customWidth="1"/>
    <col min="10" max="11" width="13.109375" style="452" bestFit="1" customWidth="1"/>
    <col min="12" max="12" width="14.44140625" style="452" bestFit="1" customWidth="1"/>
    <col min="13" max="13" width="20.6640625" style="452" customWidth="1"/>
    <col min="14" max="14" width="9.77734375" style="452"/>
    <col min="15" max="15" width="9.77734375" style="452" customWidth="1"/>
    <col min="16" max="16384" width="9.77734375" style="452"/>
  </cols>
  <sheetData>
    <row r="1" spans="2:13" ht="18.45" x14ac:dyDescent="0.45">
      <c r="B1" s="861" t="s">
        <v>641</v>
      </c>
      <c r="C1" s="861"/>
      <c r="D1" s="861"/>
      <c r="E1" s="861"/>
      <c r="F1" s="861"/>
      <c r="G1" s="861"/>
      <c r="H1" s="861"/>
      <c r="I1" s="861"/>
      <c r="J1" s="861"/>
      <c r="K1" s="861"/>
      <c r="L1" s="861"/>
      <c r="M1" s="861"/>
    </row>
    <row r="2" spans="2:13" ht="10.95" thickBot="1" x14ac:dyDescent="0.3"/>
    <row r="3" spans="2:13" ht="21.45" thickBot="1" x14ac:dyDescent="0.3">
      <c r="B3" s="750" t="s">
        <v>633</v>
      </c>
      <c r="C3" s="751" t="s">
        <v>243</v>
      </c>
      <c r="D3" s="751" t="s">
        <v>244</v>
      </c>
      <c r="E3" s="751" t="s">
        <v>267</v>
      </c>
      <c r="F3" s="751" t="s">
        <v>629</v>
      </c>
      <c r="G3" s="751" t="s">
        <v>247</v>
      </c>
      <c r="H3" s="751" t="s">
        <v>231</v>
      </c>
      <c r="I3" s="751" t="s">
        <v>230</v>
      </c>
      <c r="J3" s="752" t="s">
        <v>232</v>
      </c>
      <c r="K3" s="751" t="s">
        <v>631</v>
      </c>
      <c r="L3" s="752" t="s">
        <v>632</v>
      </c>
      <c r="M3" s="753" t="s">
        <v>637</v>
      </c>
    </row>
    <row r="4" spans="2:13" ht="13.5" thickBot="1" x14ac:dyDescent="0.35">
      <c r="B4" s="458" t="s">
        <v>379</v>
      </c>
      <c r="C4" s="459">
        <f>SUM(C5:C9)</f>
        <v>93147422</v>
      </c>
      <c r="D4" s="459">
        <f t="shared" ref="D4:L4" si="0">SUM(D5:D9)</f>
        <v>108089871.92</v>
      </c>
      <c r="E4" s="459">
        <f t="shared" si="0"/>
        <v>25634936.84</v>
      </c>
      <c r="F4" s="459">
        <f t="shared" si="0"/>
        <v>7410023</v>
      </c>
      <c r="G4" s="459">
        <f t="shared" si="0"/>
        <v>20253803.380000003</v>
      </c>
      <c r="H4" s="459">
        <f t="shared" si="0"/>
        <v>6607962</v>
      </c>
      <c r="I4" s="459">
        <f t="shared" si="0"/>
        <v>8104652.5</v>
      </c>
      <c r="J4" s="459">
        <f t="shared" si="0"/>
        <v>10034696</v>
      </c>
      <c r="K4" s="459">
        <f t="shared" si="0"/>
        <v>9509433</v>
      </c>
      <c r="L4" s="459">
        <f t="shared" si="0"/>
        <v>288792800.63999999</v>
      </c>
      <c r="M4" s="754">
        <f>SUM(M5:M11)</f>
        <v>317672915.63999999</v>
      </c>
    </row>
    <row r="5" spans="2:13" ht="10.95" thickBot="1" x14ac:dyDescent="0.3">
      <c r="B5" s="458" t="s">
        <v>380</v>
      </c>
      <c r="C5" s="745">
        <f>SUM('App B.1 Budget'!E7+'App B.1 Budget'!E15+'App B.1 Budget'!E19+'App B.1 Budget'!E21)</f>
        <v>2917731</v>
      </c>
      <c r="D5" s="745">
        <f>SUM('App B.1 Budget'!E23+'App B.1 Budget'!E33)</f>
        <v>5098250</v>
      </c>
      <c r="E5" s="745">
        <f>SUM('App B.1 Budget'!E43+'App B.1 Budget'!E48)</f>
        <v>2261282</v>
      </c>
      <c r="F5" s="745">
        <f>SUM('App B.1 Budget'!E57)</f>
        <v>214049</v>
      </c>
      <c r="G5" s="745">
        <f>SUM('App B.1 Budget'!E81+'App B.1 Budget'!E109)</f>
        <v>3264058</v>
      </c>
      <c r="H5" s="745">
        <f>SUM('App B.1 Budget'!E67)</f>
        <v>514973</v>
      </c>
      <c r="I5" s="745">
        <f>SUM('App B.1 Budget'!E73)</f>
        <v>714581</v>
      </c>
      <c r="J5" s="745">
        <f>SUM('App B.1 Budget'!E77)</f>
        <v>1173147</v>
      </c>
      <c r="K5" s="745">
        <f>SUM('App B.1 Budget'!E62)</f>
        <v>1010780</v>
      </c>
      <c r="L5" s="745">
        <f>SUM(C5:K5)</f>
        <v>17168851</v>
      </c>
      <c r="M5" s="748">
        <f>SUM(L5)</f>
        <v>17168851</v>
      </c>
    </row>
    <row r="6" spans="2:13" ht="10.95" thickBot="1" x14ac:dyDescent="0.3">
      <c r="B6" s="458" t="s">
        <v>381</v>
      </c>
      <c r="C6" s="745">
        <f>SUM('App B.1 Budget'!J7+'App B.1 Budget'!J15+'App B.1 Budget'!J19+'App B.1 Budget'!J21)</f>
        <v>3034015</v>
      </c>
      <c r="D6" s="745">
        <f>SUM('App B.1 Budget'!J23+'App B.1 Budget'!J33)</f>
        <v>1650738</v>
      </c>
      <c r="E6" s="745">
        <f>SUM('App B.1 Budget'!J43+'App B.1 Budget'!J48)</f>
        <v>933426</v>
      </c>
      <c r="F6" s="745">
        <f>SUM('App B.1 Budget'!J57)</f>
        <v>16868</v>
      </c>
      <c r="G6" s="745">
        <f>SUM('App B.1 Budget'!J81+'App B.1 Budget'!J109)</f>
        <v>445034</v>
      </c>
      <c r="H6" s="745">
        <f>SUM('App B.1 Budget'!J67)</f>
        <v>276</v>
      </c>
      <c r="I6" s="745">
        <f>SUM('App B.1 Budget'!J73)</f>
        <v>8319</v>
      </c>
      <c r="J6" s="745">
        <f>SUM('App B.1 Budget'!J77)</f>
        <v>344777</v>
      </c>
      <c r="K6" s="745">
        <f>SUM('App B.1 Budget'!J62)</f>
        <v>236059</v>
      </c>
      <c r="L6" s="745">
        <f>SUM(C6:K6)</f>
        <v>6669512</v>
      </c>
      <c r="M6" s="748">
        <f t="shared" ref="M6:M8" si="1">SUM(L6)</f>
        <v>6669512</v>
      </c>
    </row>
    <row r="7" spans="2:13" ht="10.95" thickBot="1" x14ac:dyDescent="0.3">
      <c r="B7" s="744" t="s">
        <v>382</v>
      </c>
      <c r="C7" s="745">
        <f>SUM('App B.1 Budget'!O7+'App B.1 Budget'!O15+'App B.1 Budget'!O19+'App B.1 Budget'!O21)</f>
        <v>18555302</v>
      </c>
      <c r="D7" s="745">
        <f>SUM('App B.1 Budget'!O23+'App B.1 Budget'!O33)</f>
        <v>35863301</v>
      </c>
      <c r="E7" s="745">
        <f>SUM('App B.1 Budget'!O43+'App B.1 Budget'!O48)</f>
        <v>12662120</v>
      </c>
      <c r="F7" s="745">
        <f>SUM('App B.1 Budget'!O57)</f>
        <v>3650103</v>
      </c>
      <c r="G7" s="745">
        <f>SUM('App B.1 Budget'!O81+'App B.1 Budget'!O109)</f>
        <v>8084892.4000000004</v>
      </c>
      <c r="H7" s="745">
        <f>SUM('App B.1 Budget'!O67)</f>
        <v>6092713</v>
      </c>
      <c r="I7" s="745">
        <f>SUM('App B.1 Budget'!O73)</f>
        <v>7341958</v>
      </c>
      <c r="J7" s="745">
        <f>SUM('App B.1 Budget'!O77)</f>
        <v>8516772</v>
      </c>
      <c r="K7" s="745">
        <f>SUM('App B.1 Budget'!O62)</f>
        <v>8262594</v>
      </c>
      <c r="L7" s="745">
        <f>SUM(C7:K7)</f>
        <v>109029755.40000001</v>
      </c>
      <c r="M7" s="748">
        <f t="shared" si="1"/>
        <v>109029755.40000001</v>
      </c>
    </row>
    <row r="8" spans="2:13" ht="10.95" thickBot="1" x14ac:dyDescent="0.3">
      <c r="B8" s="749" t="s">
        <v>383</v>
      </c>
      <c r="C8" s="742">
        <f>SUM('App B.1 Budget'!T7+'App B.1 Budget'!T15+'App B.1 Budget'!T19+'App B.1 Budget'!T21)</f>
        <v>68640374</v>
      </c>
      <c r="D8" s="742">
        <f>SUM('App B.1 Budget'!T23+'App B.1 Budget'!T33)</f>
        <v>65477582.920000002</v>
      </c>
      <c r="E8" s="742">
        <f>SUM('App B.1 Budget'!T43+'App B.1 Budget'!T48)</f>
        <v>9778108.8399999999</v>
      </c>
      <c r="F8" s="742">
        <f>SUM('App B.1 Budget'!T57)</f>
        <v>3529003</v>
      </c>
      <c r="G8" s="742">
        <f>SUM('App B.1 Budget'!T81+'App B.1 Budget'!T109)</f>
        <v>8459818.9800000004</v>
      </c>
      <c r="H8" s="742">
        <f>SUM('App B.1 Budget'!T67)</f>
        <v>0</v>
      </c>
      <c r="I8" s="742">
        <f>SUM('App B.1 Budget'!T73)</f>
        <v>39794.5</v>
      </c>
      <c r="J8" s="742">
        <f>SUM('App B.1 Budget'!T77)</f>
        <v>0</v>
      </c>
      <c r="K8" s="742">
        <f>SUM('App B.1 Budget'!T62)</f>
        <v>0</v>
      </c>
      <c r="L8" s="742">
        <f>SUM(C8:K8)</f>
        <v>155924682.23999998</v>
      </c>
      <c r="M8" s="747">
        <f t="shared" si="1"/>
        <v>155924682.23999998</v>
      </c>
    </row>
    <row r="9" spans="2:13" ht="10.95" thickBot="1" x14ac:dyDescent="0.3">
      <c r="B9" s="744" t="s">
        <v>638</v>
      </c>
      <c r="C9" s="745"/>
      <c r="D9" s="745"/>
      <c r="E9" s="745"/>
      <c r="F9" s="745"/>
      <c r="G9" s="745"/>
      <c r="H9" s="745"/>
      <c r="I9" s="745"/>
      <c r="J9" s="745"/>
      <c r="K9" s="745"/>
      <c r="L9" s="745"/>
      <c r="M9" s="460">
        <f>SUM('App B.1 Budget'!AF122)</f>
        <v>3666575.0000000005</v>
      </c>
    </row>
    <row r="10" spans="2:13" ht="10.95" thickBot="1" x14ac:dyDescent="0.3">
      <c r="B10" s="728" t="s">
        <v>639</v>
      </c>
      <c r="C10" s="468"/>
      <c r="D10" s="468"/>
      <c r="E10" s="468"/>
      <c r="F10" s="468"/>
      <c r="G10" s="468"/>
      <c r="H10" s="468"/>
      <c r="I10" s="468"/>
      <c r="J10" s="468"/>
      <c r="K10" s="468"/>
      <c r="L10" s="741"/>
      <c r="M10" s="743">
        <f>SUM('App B.1 Budget'!AF121)</f>
        <v>9666425</v>
      </c>
    </row>
    <row r="11" spans="2:13" ht="10.95" thickBot="1" x14ac:dyDescent="0.3">
      <c r="B11" s="728" t="s">
        <v>195</v>
      </c>
      <c r="C11" s="468"/>
      <c r="D11" s="468"/>
      <c r="E11" s="468"/>
      <c r="F11" s="468"/>
      <c r="G11" s="468"/>
      <c r="H11" s="468"/>
      <c r="I11" s="468"/>
      <c r="J11" s="468"/>
      <c r="K11" s="468"/>
      <c r="L11" s="741"/>
      <c r="M11" s="743">
        <f>SUM('App B.1 Budget'!AE125)</f>
        <v>15547115</v>
      </c>
    </row>
    <row r="12" spans="2:13" ht="10.5" x14ac:dyDescent="0.25">
      <c r="L12" s="730"/>
    </row>
    <row r="13" spans="2:13" ht="10.5" x14ac:dyDescent="0.25">
      <c r="L13" s="730"/>
    </row>
    <row r="14" spans="2:13" ht="10.95" thickBot="1" x14ac:dyDescent="0.3"/>
    <row r="15" spans="2:13" ht="21.45" thickBot="1" x14ac:dyDescent="0.3">
      <c r="B15" s="750" t="s">
        <v>635</v>
      </c>
      <c r="C15" s="751" t="s">
        <v>243</v>
      </c>
      <c r="D15" s="751" t="s">
        <v>244</v>
      </c>
      <c r="E15" s="751" t="s">
        <v>267</v>
      </c>
      <c r="F15" s="751" t="s">
        <v>629</v>
      </c>
      <c r="G15" s="751" t="s">
        <v>247</v>
      </c>
      <c r="H15" s="751" t="s">
        <v>231</v>
      </c>
      <c r="I15" s="751" t="s">
        <v>230</v>
      </c>
      <c r="J15" s="752" t="s">
        <v>232</v>
      </c>
      <c r="K15" s="751" t="s">
        <v>631</v>
      </c>
      <c r="L15" s="752" t="s">
        <v>632</v>
      </c>
      <c r="M15" s="751" t="s">
        <v>637</v>
      </c>
    </row>
    <row r="16" spans="2:13" ht="13.5" thickBot="1" x14ac:dyDescent="0.35">
      <c r="B16" s="458" t="s">
        <v>379</v>
      </c>
      <c r="C16" s="459">
        <f>SUM(C17:C21)</f>
        <v>95276730</v>
      </c>
      <c r="D16" s="459">
        <f t="shared" ref="D16" si="2">SUM(D17:D21)</f>
        <v>88128375</v>
      </c>
      <c r="E16" s="459">
        <f t="shared" ref="E16" si="3">SUM(E17:E21)</f>
        <v>26027020</v>
      </c>
      <c r="F16" s="459">
        <f t="shared" ref="F16" si="4">SUM(F17:F21)</f>
        <v>4560617</v>
      </c>
      <c r="G16" s="459">
        <f t="shared" ref="G16" si="5">SUM(G17:G21)</f>
        <v>22315676</v>
      </c>
      <c r="H16" s="459">
        <f t="shared" ref="H16" si="6">SUM(H17:H21)</f>
        <v>5662537</v>
      </c>
      <c r="I16" s="459">
        <f t="shared" ref="I16" si="7">SUM(I17:I21)</f>
        <v>7477786</v>
      </c>
      <c r="J16" s="459">
        <f t="shared" ref="J16" si="8">SUM(J17:J21)</f>
        <v>6669781</v>
      </c>
      <c r="K16" s="459">
        <f t="shared" ref="K16" si="9">SUM(K17:K21)</f>
        <v>14809658</v>
      </c>
      <c r="L16" s="459">
        <f t="shared" ref="L16" si="10">SUM(L17:L21)</f>
        <v>270928180</v>
      </c>
      <c r="M16" s="754">
        <f>SUM(M17:M23)</f>
        <v>301575180</v>
      </c>
    </row>
    <row r="17" spans="2:13" ht="10.95" thickBot="1" x14ac:dyDescent="0.3">
      <c r="B17" s="458" t="s">
        <v>380</v>
      </c>
      <c r="C17" s="745">
        <f>SUM('App B.1 Budget'!G7+'App B.1 Budget'!G15+'App B.1 Budget'!G19+'App B.1 Budget'!G21)</f>
        <v>3907497</v>
      </c>
      <c r="D17" s="745">
        <f>SUM('App B.1 Budget'!G23+'App B.1 Budget'!G33)</f>
        <v>5411671</v>
      </c>
      <c r="E17" s="745">
        <f>SUM('App B.1 Budget'!G43+'App B.1 Budget'!G48)</f>
        <v>1809705</v>
      </c>
      <c r="F17" s="745">
        <f>SUM('App B.1 Budget'!G57)</f>
        <v>296917</v>
      </c>
      <c r="G17" s="745">
        <f>SUM('App B.1 Budget'!G81+'App B.1 Budget'!G109)</f>
        <v>1894864</v>
      </c>
      <c r="H17" s="745">
        <f>SUM('App B.1 Budget'!G67)</f>
        <v>470902</v>
      </c>
      <c r="I17" s="745">
        <f>SUM('App B.1 Budget'!G73)</f>
        <v>529553</v>
      </c>
      <c r="J17" s="745">
        <f>SUM('App B.1 Budget'!G77)</f>
        <v>398625</v>
      </c>
      <c r="K17" s="745">
        <f>SUM('App B.1 Budget'!G62)</f>
        <v>749502</v>
      </c>
      <c r="L17" s="745">
        <f>SUM(C17:K17)</f>
        <v>15469236</v>
      </c>
      <c r="M17" s="748">
        <f>SUM(L17)</f>
        <v>15469236</v>
      </c>
    </row>
    <row r="18" spans="2:13" ht="10.95" thickBot="1" x14ac:dyDescent="0.3">
      <c r="B18" s="458" t="s">
        <v>381</v>
      </c>
      <c r="C18" s="745">
        <f>SUM('App B.1 Budget'!L7+'App B.1 Budget'!L15+'App B.1 Budget'!L19+'App B.1 Budget'!L21)</f>
        <v>2015907</v>
      </c>
      <c r="D18" s="745">
        <f>SUM('App B.1 Budget'!L23+'App B.1 Budget'!L33)</f>
        <v>905712</v>
      </c>
      <c r="E18" s="745">
        <f>SUM('App B.1 Budget'!L43+'App B.1 Budget'!L48)</f>
        <v>366707</v>
      </c>
      <c r="F18" s="745">
        <f>SUM('App B.1 Budget'!L57)</f>
        <v>16868</v>
      </c>
      <c r="G18" s="745">
        <f>SUM('App B.1 Budget'!L81+'App B.1 Budget'!L9)</f>
        <v>1298981</v>
      </c>
      <c r="H18" s="745">
        <f>SUM('App B.1 Budget'!L67)</f>
        <v>0</v>
      </c>
      <c r="I18" s="745">
        <f>SUM('App B.1 Budget'!L73)</f>
        <v>100000</v>
      </c>
      <c r="J18" s="745">
        <f>SUM('App B.1 Budget'!L77)</f>
        <v>282710</v>
      </c>
      <c r="K18" s="745">
        <f>SUM('App B.1 Budget'!L62)</f>
        <v>55443</v>
      </c>
      <c r="L18" s="745">
        <f>SUM(C18:K18)</f>
        <v>5042328</v>
      </c>
      <c r="M18" s="748">
        <f t="shared" ref="M18:M20" si="11">SUM(L18)</f>
        <v>5042328</v>
      </c>
    </row>
    <row r="19" spans="2:13" ht="10.95" thickBot="1" x14ac:dyDescent="0.3">
      <c r="B19" s="744" t="s">
        <v>382</v>
      </c>
      <c r="C19" s="745">
        <f>SUM('App B.1 Budget'!Q7+'App B.1 Budget'!Q15+'App B.1 Budget'!Q19+'App B.1 Budget'!Q21)</f>
        <v>20934310</v>
      </c>
      <c r="D19" s="745">
        <f>SUM('App B.1 Budget'!Q23+'App B.1 Budget'!Q33)</f>
        <v>27000013</v>
      </c>
      <c r="E19" s="745">
        <f>SUM('App B.1 Budget'!Q43+'App B.1 Budget'!Q48)</f>
        <v>10398418</v>
      </c>
      <c r="F19" s="745">
        <f>SUM('App B.1 Budget'!Q57)</f>
        <v>2797209</v>
      </c>
      <c r="G19" s="745">
        <f>SUM('App B.1 Budget'!Q81+'App B.1 Budget'!Q109)</f>
        <v>11361503</v>
      </c>
      <c r="H19" s="745">
        <f>SUM('App B.1 Budget'!Q67)</f>
        <v>5191635</v>
      </c>
      <c r="I19" s="745">
        <f>SUM('App B.1 Budget'!Q73)</f>
        <v>6401983</v>
      </c>
      <c r="J19" s="745">
        <f>SUM('App B.1 Budget'!Q77)</f>
        <v>5890949</v>
      </c>
      <c r="K19" s="745">
        <f>SUM('App B.1 Budget'!Q62)</f>
        <v>14004713</v>
      </c>
      <c r="L19" s="745">
        <f>SUM(C19:K19)</f>
        <v>103980733</v>
      </c>
      <c r="M19" s="748">
        <f t="shared" si="11"/>
        <v>103980733</v>
      </c>
    </row>
    <row r="20" spans="2:13" ht="10.95" thickBot="1" x14ac:dyDescent="0.3">
      <c r="B20" s="749" t="s">
        <v>383</v>
      </c>
      <c r="C20" s="742">
        <f>SUM('App B.1 Budget'!V7+'App B.1 Budget'!V15+'App B.1 Budget'!V19+'App B.1 Budget'!V21)</f>
        <v>68419016</v>
      </c>
      <c r="D20" s="742">
        <f>SUM('App B.1 Budget'!V23+'App B.1 Budget'!V33)</f>
        <v>54810979</v>
      </c>
      <c r="E20" s="742">
        <f>SUM('App B.1 Budget'!V43+'App B.1 Budget'!V48)</f>
        <v>13452190</v>
      </c>
      <c r="F20" s="742">
        <f>SUM('App B.1 Budget'!V57)</f>
        <v>1449623</v>
      </c>
      <c r="G20" s="742">
        <f>SUM('App B.1 Budget'!V81+'App B.1 Budget'!V109)</f>
        <v>7760328</v>
      </c>
      <c r="H20" s="742">
        <f>SUM('App B.1 Budget'!V67)</f>
        <v>0</v>
      </c>
      <c r="I20" s="742">
        <f>SUM('App B.1 Budget'!V73)</f>
        <v>446250</v>
      </c>
      <c r="J20" s="742">
        <f>SUM('App B.1 Budget'!V77)</f>
        <v>97497</v>
      </c>
      <c r="K20" s="742">
        <f>SUM('App B.1 Budget'!V62)</f>
        <v>0</v>
      </c>
      <c r="L20" s="742">
        <f>SUM(C20:K20)</f>
        <v>146435883</v>
      </c>
      <c r="M20" s="747">
        <f t="shared" si="11"/>
        <v>146435883</v>
      </c>
    </row>
    <row r="21" spans="2:13" ht="10.95" thickBot="1" x14ac:dyDescent="0.3">
      <c r="B21" s="744" t="s">
        <v>638</v>
      </c>
      <c r="C21" s="745"/>
      <c r="D21" s="745"/>
      <c r="E21" s="745"/>
      <c r="F21" s="745"/>
      <c r="G21" s="745"/>
      <c r="H21" s="745"/>
      <c r="I21" s="745"/>
      <c r="J21" s="745"/>
      <c r="K21" s="745"/>
      <c r="L21" s="745"/>
      <c r="M21" s="460">
        <f>SUM('App B.1 Budget'!AG122)</f>
        <v>3666575.0000000005</v>
      </c>
    </row>
    <row r="22" spans="2:13" ht="10.95" thickBot="1" x14ac:dyDescent="0.3">
      <c r="B22" s="728" t="s">
        <v>639</v>
      </c>
      <c r="C22" s="468"/>
      <c r="D22" s="468"/>
      <c r="E22" s="468"/>
      <c r="F22" s="468"/>
      <c r="G22" s="468"/>
      <c r="H22" s="468"/>
      <c r="I22" s="468"/>
      <c r="J22" s="468"/>
      <c r="K22" s="468"/>
      <c r="L22" s="741"/>
      <c r="M22" s="743">
        <f>SUM('App B.1 Budget'!AG121)</f>
        <v>9666425</v>
      </c>
    </row>
    <row r="23" spans="2:13" ht="10.95" thickBot="1" x14ac:dyDescent="0.3">
      <c r="B23" s="728" t="s">
        <v>195</v>
      </c>
      <c r="C23" s="468"/>
      <c r="D23" s="468"/>
      <c r="E23" s="468"/>
      <c r="F23" s="468"/>
      <c r="G23" s="468"/>
      <c r="H23" s="468"/>
      <c r="I23" s="468"/>
      <c r="J23" s="468"/>
      <c r="K23" s="468"/>
      <c r="L23" s="741"/>
      <c r="M23" s="743">
        <f>SUM('App B.1 Budget'!AG125)</f>
        <v>17314000</v>
      </c>
    </row>
    <row r="26" spans="2:13" ht="10.95" thickBot="1" x14ac:dyDescent="0.3"/>
    <row r="27" spans="2:13" ht="21.45" thickBot="1" x14ac:dyDescent="0.3">
      <c r="B27" s="750" t="s">
        <v>636</v>
      </c>
      <c r="C27" s="751" t="s">
        <v>243</v>
      </c>
      <c r="D27" s="751" t="s">
        <v>244</v>
      </c>
      <c r="E27" s="751" t="s">
        <v>267</v>
      </c>
      <c r="F27" s="751" t="s">
        <v>629</v>
      </c>
      <c r="G27" s="751" t="s">
        <v>247</v>
      </c>
      <c r="H27" s="751" t="s">
        <v>231</v>
      </c>
      <c r="I27" s="751" t="s">
        <v>230</v>
      </c>
      <c r="J27" s="752" t="s">
        <v>232</v>
      </c>
      <c r="K27" s="751" t="s">
        <v>631</v>
      </c>
      <c r="L27" s="752" t="s">
        <v>632</v>
      </c>
      <c r="M27" s="751" t="s">
        <v>637</v>
      </c>
    </row>
    <row r="28" spans="2:13" ht="13.5" thickBot="1" x14ac:dyDescent="0.35">
      <c r="B28" s="458" t="s">
        <v>379</v>
      </c>
      <c r="C28" s="459">
        <f>SUM(C29:C33)</f>
        <v>93444250</v>
      </c>
      <c r="D28" s="459">
        <f t="shared" ref="D28:K28" si="12">SUM(D29:D33)</f>
        <v>84228790.200000003</v>
      </c>
      <c r="E28" s="459">
        <f t="shared" si="12"/>
        <v>25853261</v>
      </c>
      <c r="F28" s="459">
        <f t="shared" si="12"/>
        <v>3477021</v>
      </c>
      <c r="G28" s="459">
        <f t="shared" si="12"/>
        <v>23812946.399999999</v>
      </c>
      <c r="H28" s="459">
        <f t="shared" si="12"/>
        <v>5661248</v>
      </c>
      <c r="I28" s="459">
        <f t="shared" si="12"/>
        <v>7476487</v>
      </c>
      <c r="J28" s="459">
        <f t="shared" si="12"/>
        <v>4845105</v>
      </c>
      <c r="K28" s="459">
        <f t="shared" si="12"/>
        <v>1565166</v>
      </c>
      <c r="L28" s="459">
        <f>SUM(C28:K28)</f>
        <v>250364274.59999999</v>
      </c>
      <c r="M28" s="754">
        <f>SUM(M29:M35)</f>
        <v>278777369.60000002</v>
      </c>
    </row>
    <row r="29" spans="2:13" ht="10.95" thickBot="1" x14ac:dyDescent="0.3">
      <c r="B29" s="458" t="s">
        <v>380</v>
      </c>
      <c r="C29" s="745">
        <f>SUM('App B.1 Budget'!H7+'App B.1 Budget'!H15+'App B.1 Budget'!H19+'App B.1 Budget'!H21)</f>
        <v>4878799</v>
      </c>
      <c r="D29" s="745">
        <f>SUM('App B.1 Budget'!H23+'App B.1 Budget'!H33)</f>
        <v>5055182</v>
      </c>
      <c r="E29" s="745">
        <f>SUM('App B.1 Budget'!H43+'App B.1 Budget'!H48)</f>
        <v>1894433</v>
      </c>
      <c r="F29" s="745">
        <f>SUM('App B.1 Budget'!H57)</f>
        <v>254167</v>
      </c>
      <c r="G29" s="745">
        <f>SUM('App B.1 Budget'!H81+'App B.1 Budget'!H109)</f>
        <v>2133385</v>
      </c>
      <c r="H29" s="745">
        <f>SUM('App B.1 Budget'!H67)</f>
        <v>509158</v>
      </c>
      <c r="I29" s="745">
        <f>SUM('App B.1 Budget'!H73)</f>
        <v>487569</v>
      </c>
      <c r="J29" s="745">
        <f>SUM('App B.1 Budget'!H77)</f>
        <v>291187</v>
      </c>
      <c r="K29" s="745">
        <f>SUM('App B.1 Budget'!H62)</f>
        <v>180728</v>
      </c>
      <c r="L29" s="745">
        <f>SUM(C29:K29)</f>
        <v>15684608</v>
      </c>
      <c r="M29" s="748">
        <f>SUM(L29)</f>
        <v>15684608</v>
      </c>
    </row>
    <row r="30" spans="2:13" ht="10.95" thickBot="1" x14ac:dyDescent="0.3">
      <c r="B30" s="458" t="s">
        <v>381</v>
      </c>
      <c r="C30" s="745">
        <f>SUM('App B.1 Budget'!M7+'App B.1 Budget'!M15+'App B.1 Budget'!M19+'App B.1 Budget'!M21)</f>
        <v>1991599</v>
      </c>
      <c r="D30" s="745">
        <f>SUM('App B.1 Budget'!M23+'App B.1 Budget'!M33)</f>
        <v>662116</v>
      </c>
      <c r="E30" s="745">
        <f>SUM('App B.1 Budget'!M43+'App B.1 Budget'!M48)</f>
        <v>349943</v>
      </c>
      <c r="F30" s="745">
        <f>SUM('App B.1 Budget'!M57)</f>
        <v>17379</v>
      </c>
      <c r="G30" s="745">
        <f>SUM('App B.1 Budget'!M81+'App B.1 Budget'!M109)</f>
        <v>336168</v>
      </c>
      <c r="H30" s="745">
        <f>SUM('App B.1 Budget'!M67)</f>
        <v>0</v>
      </c>
      <c r="I30" s="745">
        <f>SUM('App B.1 Budget'!M73)</f>
        <v>103009</v>
      </c>
      <c r="J30" s="745">
        <f>SUM('App B.1 Budget'!M77)</f>
        <v>0</v>
      </c>
      <c r="K30" s="745">
        <f>SUM('App B.1 Budget'!M62)</f>
        <v>45398</v>
      </c>
      <c r="L30" s="745">
        <f>SUM(C30:K30)</f>
        <v>3505612</v>
      </c>
      <c r="M30" s="748">
        <f t="shared" ref="M30:M32" si="13">SUM(L30)</f>
        <v>3505612</v>
      </c>
    </row>
    <row r="31" spans="2:13" ht="10.95" thickBot="1" x14ac:dyDescent="0.3">
      <c r="B31" s="744" t="s">
        <v>382</v>
      </c>
      <c r="C31" s="745">
        <f>SUM('App B.1 Budget'!R7+'App B.1 Budget'!R15+'App B.1 Budget'!R19+'App B.1 Budget'!R21)</f>
        <v>16094536</v>
      </c>
      <c r="D31" s="745">
        <f>SUM('App B.1 Budget'!R23+'App B.1 Budget'!R33)</f>
        <v>27781940</v>
      </c>
      <c r="E31" s="745">
        <f>SUM('App B.1 Budget'!R43+'App B.1 Budget'!R48)</f>
        <v>12088819</v>
      </c>
      <c r="F31" s="745">
        <f>SUM('App B.1 Budget'!R57)</f>
        <v>2741393</v>
      </c>
      <c r="G31" s="745">
        <f>SUM('App B.1 Budget'!R81+'App B.1 Budget'!R109)</f>
        <v>9998747</v>
      </c>
      <c r="H31" s="745">
        <f>SUM('App B.1 Budget'!R67)</f>
        <v>5152090</v>
      </c>
      <c r="I31" s="745">
        <f>SUM('App B.1 Budget'!R73)</f>
        <v>6885909</v>
      </c>
      <c r="J31" s="745">
        <f>SUM('App B.1 Budget'!R77)</f>
        <v>4553918</v>
      </c>
      <c r="K31" s="745">
        <f>SUM('App B.1 Budget'!R62)</f>
        <v>1339040</v>
      </c>
      <c r="L31" s="745">
        <f>SUM(C31:K31)</f>
        <v>86636392</v>
      </c>
      <c r="M31" s="748">
        <f t="shared" si="13"/>
        <v>86636392</v>
      </c>
    </row>
    <row r="32" spans="2:13" ht="10.95" thickBot="1" x14ac:dyDescent="0.3">
      <c r="B32" s="749" t="s">
        <v>383</v>
      </c>
      <c r="C32" s="742">
        <f>SUM('App B.1 Budget'!W7+'App B.1 Budget'!W15+'App B.1 Budget'!W19+'App B.1 Budget'!W21)</f>
        <v>70479316</v>
      </c>
      <c r="D32" s="742">
        <f>SUM('App B.1 Budget'!W23+'App B.1 Budget'!W33)</f>
        <v>50729552.200000003</v>
      </c>
      <c r="E32" s="742">
        <f>SUM('App B.1 Budget'!W43+'App B.1 Budget'!W48)</f>
        <v>11520066</v>
      </c>
      <c r="F32" s="742">
        <f>SUM('App B.1 Budget'!W57)</f>
        <v>464082</v>
      </c>
      <c r="G32" s="742">
        <f>SUM('App B.1 Budget'!W81+'App B.1 Budget'!W109)</f>
        <v>11344646.4</v>
      </c>
      <c r="H32" s="742">
        <f>SUM('App B.1 Budget'!W67)</f>
        <v>0</v>
      </c>
      <c r="I32" s="742">
        <f>SUM('App B.1 Budget'!W73)</f>
        <v>0</v>
      </c>
      <c r="J32" s="742">
        <f>SUM('App B.1 Budget'!W77)</f>
        <v>0</v>
      </c>
      <c r="K32" s="742">
        <f>SUM('App B.1 Budget'!W62)</f>
        <v>0</v>
      </c>
      <c r="L32" s="742">
        <f>SUM(C32:K32)</f>
        <v>144537662.59999999</v>
      </c>
      <c r="M32" s="747">
        <f t="shared" si="13"/>
        <v>144537662.59999999</v>
      </c>
    </row>
    <row r="33" spans="2:13" ht="10.95" thickBot="1" x14ac:dyDescent="0.3">
      <c r="B33" s="744" t="s">
        <v>638</v>
      </c>
      <c r="C33" s="745"/>
      <c r="D33" s="745"/>
      <c r="E33" s="745"/>
      <c r="F33" s="745"/>
      <c r="G33" s="745"/>
      <c r="H33" s="745"/>
      <c r="I33" s="745"/>
      <c r="J33" s="745"/>
      <c r="K33" s="745"/>
      <c r="L33" s="745"/>
      <c r="M33" s="460">
        <f>SUM('App B.1 Budget'!AH122)</f>
        <v>4460438</v>
      </c>
    </row>
    <row r="34" spans="2:13" ht="10.95" thickBot="1" x14ac:dyDescent="0.3">
      <c r="B34" s="728" t="s">
        <v>639</v>
      </c>
      <c r="C34" s="468"/>
      <c r="D34" s="468"/>
      <c r="E34" s="468"/>
      <c r="F34" s="468"/>
      <c r="G34" s="468"/>
      <c r="H34" s="468"/>
      <c r="I34" s="468"/>
      <c r="J34" s="468"/>
      <c r="K34" s="468"/>
      <c r="L34" s="741"/>
      <c r="M34" s="743">
        <f>SUM('App B.1 Budget'!AH121)</f>
        <v>6690657</v>
      </c>
    </row>
    <row r="35" spans="2:13" ht="10.95" thickBot="1" x14ac:dyDescent="0.3">
      <c r="B35" s="728" t="s">
        <v>195</v>
      </c>
      <c r="C35" s="468"/>
      <c r="D35" s="468"/>
      <c r="E35" s="468"/>
      <c r="F35" s="468"/>
      <c r="G35" s="468"/>
      <c r="H35" s="468"/>
      <c r="I35" s="468"/>
      <c r="J35" s="468"/>
      <c r="K35" s="468"/>
      <c r="L35" s="741"/>
      <c r="M35" s="743">
        <f>SUM('App B.1 Budget'!AH125)</f>
        <v>17262000</v>
      </c>
    </row>
    <row r="38" spans="2:13" ht="10.95" thickBot="1" x14ac:dyDescent="0.3"/>
    <row r="39" spans="2:13" ht="21.45" thickBot="1" x14ac:dyDescent="0.3">
      <c r="B39" s="750" t="s">
        <v>673</v>
      </c>
      <c r="C39" s="751" t="s">
        <v>243</v>
      </c>
      <c r="D39" s="751" t="s">
        <v>244</v>
      </c>
      <c r="E39" s="751" t="s">
        <v>267</v>
      </c>
      <c r="F39" s="751" t="s">
        <v>629</v>
      </c>
      <c r="G39" s="751" t="s">
        <v>247</v>
      </c>
      <c r="H39" s="751" t="s">
        <v>231</v>
      </c>
      <c r="I39" s="751" t="s">
        <v>230</v>
      </c>
      <c r="J39" s="752" t="s">
        <v>232</v>
      </c>
      <c r="K39" s="751" t="s">
        <v>631</v>
      </c>
      <c r="L39" s="752" t="s">
        <v>632</v>
      </c>
      <c r="M39" s="751" t="s">
        <v>637</v>
      </c>
    </row>
    <row r="40" spans="2:13" ht="13.5" thickBot="1" x14ac:dyDescent="0.35">
      <c r="B40" s="458" t="s">
        <v>379</v>
      </c>
      <c r="C40" s="459">
        <v>64615071.244970068</v>
      </c>
      <c r="D40" s="459">
        <v>84171219.810053319</v>
      </c>
      <c r="E40" s="459">
        <v>25607727.986930098</v>
      </c>
      <c r="F40" s="459">
        <v>3305099.149356497</v>
      </c>
      <c r="G40" s="459">
        <v>19608331.633071974</v>
      </c>
      <c r="H40" s="459">
        <f t="shared" ref="H40:K40" si="14">SUM(H41:H45)</f>
        <v>5661248</v>
      </c>
      <c r="I40" s="459">
        <f t="shared" si="14"/>
        <v>7476487</v>
      </c>
      <c r="J40" s="459">
        <f t="shared" si="14"/>
        <v>4845105</v>
      </c>
      <c r="K40" s="459">
        <f t="shared" si="14"/>
        <v>1565166</v>
      </c>
      <c r="L40" s="459">
        <f>SUM(C40:K40)</f>
        <v>216855455.82438195</v>
      </c>
      <c r="M40" s="754">
        <f>SUM(M41:M47)</f>
        <v>242480777.07438195</v>
      </c>
    </row>
    <row r="41" spans="2:13" ht="10.95" thickBot="1" x14ac:dyDescent="0.3">
      <c r="B41" s="458" t="s">
        <v>380</v>
      </c>
      <c r="C41" s="745">
        <v>2104494.3184040682</v>
      </c>
      <c r="D41" s="745">
        <v>5168217.0034213215</v>
      </c>
      <c r="E41" s="745">
        <v>1882858.0853132904</v>
      </c>
      <c r="F41" s="745">
        <v>247433.54167880031</v>
      </c>
      <c r="G41" s="745">
        <v>1886148.3690861515</v>
      </c>
      <c r="H41" s="745">
        <v>509158</v>
      </c>
      <c r="I41" s="745">
        <v>487569</v>
      </c>
      <c r="J41" s="745">
        <v>291187</v>
      </c>
      <c r="K41" s="745">
        <v>180728</v>
      </c>
      <c r="L41" s="745">
        <f>SUM(C41:K41)</f>
        <v>12757793.317903632</v>
      </c>
      <c r="M41" s="748">
        <f>SUM(L41)</f>
        <v>12757793.317903632</v>
      </c>
    </row>
    <row r="42" spans="2:13" ht="10.95" thickBot="1" x14ac:dyDescent="0.3">
      <c r="B42" s="458" t="s">
        <v>381</v>
      </c>
      <c r="C42" s="745">
        <v>1800677.6513110001</v>
      </c>
      <c r="D42" s="745">
        <v>698366.02712099999</v>
      </c>
      <c r="E42" s="745">
        <v>347805.36235239997</v>
      </c>
      <c r="F42" s="745">
        <v>16918.047413100001</v>
      </c>
      <c r="G42" s="745">
        <v>297209.40914345003</v>
      </c>
      <c r="H42" s="745">
        <v>0</v>
      </c>
      <c r="I42" s="745">
        <v>103009</v>
      </c>
      <c r="J42" s="745">
        <v>0</v>
      </c>
      <c r="K42" s="745">
        <v>45398</v>
      </c>
      <c r="L42" s="745">
        <f>SUM(C42:K42)</f>
        <v>3309383.4973409502</v>
      </c>
      <c r="M42" s="748">
        <f t="shared" ref="M42:M44" si="15">SUM(L42)</f>
        <v>3309383.4973409502</v>
      </c>
    </row>
    <row r="43" spans="2:13" ht="10.95" thickBot="1" x14ac:dyDescent="0.3">
      <c r="B43" s="744" t="s">
        <v>382</v>
      </c>
      <c r="C43" s="745">
        <v>15163753.797245901</v>
      </c>
      <c r="D43" s="745">
        <v>30782955.084534023</v>
      </c>
      <c r="E43" s="745">
        <v>12014959.362378754</v>
      </c>
      <c r="F43" s="745">
        <v>2668773.1028390178</v>
      </c>
      <c r="G43" s="745">
        <v>8839997.7242348716</v>
      </c>
      <c r="H43" s="745">
        <v>5152090</v>
      </c>
      <c r="I43" s="745">
        <v>6885909</v>
      </c>
      <c r="J43" s="745">
        <v>4553918</v>
      </c>
      <c r="K43" s="745">
        <v>1339040</v>
      </c>
      <c r="L43" s="745">
        <f>SUM(C43:K43)</f>
        <v>87401396.071232557</v>
      </c>
      <c r="M43" s="748">
        <f t="shared" si="15"/>
        <v>87401396.071232557</v>
      </c>
    </row>
    <row r="44" spans="2:13" ht="10.95" thickBot="1" x14ac:dyDescent="0.3">
      <c r="B44" s="749" t="s">
        <v>383</v>
      </c>
      <c r="C44" s="745">
        <f>16078939.3300962+'[3]Sector Budget'!$G$17</f>
        <v>45546145.478009105</v>
      </c>
      <c r="D44" s="745">
        <v>47521681.694976971</v>
      </c>
      <c r="E44" s="745">
        <v>11362105.176885655</v>
      </c>
      <c r="F44" s="745">
        <v>371974.4574255789</v>
      </c>
      <c r="G44" s="745">
        <v>8584976.1306074951</v>
      </c>
      <c r="H44" s="742">
        <v>0</v>
      </c>
      <c r="I44" s="742">
        <v>0</v>
      </c>
      <c r="J44" s="742">
        <v>0</v>
      </c>
      <c r="K44" s="742">
        <v>0</v>
      </c>
      <c r="L44" s="742">
        <f>SUM(C44:K44)</f>
        <v>113386882.9379048</v>
      </c>
      <c r="M44" s="747">
        <f t="shared" si="15"/>
        <v>113386882.9379048</v>
      </c>
    </row>
    <row r="45" spans="2:13" ht="10.95" thickBot="1" x14ac:dyDescent="0.3">
      <c r="B45" s="744" t="s">
        <v>638</v>
      </c>
      <c r="C45" s="745"/>
      <c r="D45" s="745"/>
      <c r="E45" s="745"/>
      <c r="F45" s="745"/>
      <c r="G45" s="745"/>
      <c r="H45" s="745"/>
      <c r="I45" s="745"/>
      <c r="J45" s="745"/>
      <c r="K45" s="745"/>
      <c r="L45" s="745"/>
      <c r="M45" s="460">
        <f>M33*75%</f>
        <v>3345328.5</v>
      </c>
    </row>
    <row r="46" spans="2:13" ht="10.95" thickBot="1" x14ac:dyDescent="0.3">
      <c r="B46" s="728" t="s">
        <v>639</v>
      </c>
      <c r="C46" s="468"/>
      <c r="D46" s="468"/>
      <c r="E46" s="468"/>
      <c r="F46" s="468"/>
      <c r="G46" s="468"/>
      <c r="H46" s="468"/>
      <c r="I46" s="468"/>
      <c r="J46" s="468"/>
      <c r="K46" s="468"/>
      <c r="L46" s="741"/>
      <c r="M46" s="743">
        <f>M34*75%</f>
        <v>5017992.75</v>
      </c>
    </row>
    <row r="47" spans="2:13" ht="10.95" thickBot="1" x14ac:dyDescent="0.3">
      <c r="B47" s="728" t="s">
        <v>195</v>
      </c>
      <c r="C47" s="468"/>
      <c r="D47" s="468"/>
      <c r="E47" s="468"/>
      <c r="F47" s="468"/>
      <c r="G47" s="468"/>
      <c r="H47" s="468"/>
      <c r="I47" s="468"/>
      <c r="J47" s="468"/>
      <c r="K47" s="468"/>
      <c r="L47" s="741"/>
      <c r="M47" s="743">
        <v>17262000</v>
      </c>
    </row>
    <row r="48" spans="2:13" ht="10.5" x14ac:dyDescent="0.25">
      <c r="C48" s="452" t="s">
        <v>672</v>
      </c>
      <c r="J48" s="847" t="s">
        <v>661</v>
      </c>
    </row>
    <row r="49" spans="2:13" ht="10.5" x14ac:dyDescent="0.25">
      <c r="C49" s="452" t="s">
        <v>662</v>
      </c>
      <c r="J49" s="847"/>
    </row>
    <row r="50" spans="2:13" ht="10.5" x14ac:dyDescent="0.25">
      <c r="C50" s="452" t="s">
        <v>663</v>
      </c>
      <c r="J50" s="847"/>
    </row>
    <row r="51" spans="2:13" ht="10.5" x14ac:dyDescent="0.25">
      <c r="J51" s="847"/>
    </row>
    <row r="52" spans="2:13" ht="10.5" x14ac:dyDescent="0.25">
      <c r="J52" s="847"/>
    </row>
    <row r="53" spans="2:13" ht="10.5" x14ac:dyDescent="0.25">
      <c r="J53" s="847"/>
    </row>
    <row r="55" spans="2:13" ht="10.95" thickBot="1" x14ac:dyDescent="0.3"/>
    <row r="56" spans="2:13" ht="21.45" thickBot="1" x14ac:dyDescent="0.3">
      <c r="B56" s="750" t="s">
        <v>674</v>
      </c>
      <c r="C56" s="751" t="s">
        <v>243</v>
      </c>
      <c r="D56" s="751" t="s">
        <v>244</v>
      </c>
      <c r="E56" s="751" t="s">
        <v>267</v>
      </c>
      <c r="F56" s="751" t="s">
        <v>629</v>
      </c>
      <c r="G56" s="751" t="s">
        <v>247</v>
      </c>
      <c r="H56" s="751" t="s">
        <v>231</v>
      </c>
      <c r="I56" s="751" t="s">
        <v>230</v>
      </c>
      <c r="J56" s="752" t="s">
        <v>232</v>
      </c>
      <c r="K56" s="751" t="s">
        <v>631</v>
      </c>
      <c r="L56" s="752" t="s">
        <v>632</v>
      </c>
      <c r="M56" s="751" t="s">
        <v>637</v>
      </c>
    </row>
    <row r="57" spans="2:13" ht="13.5" thickBot="1" x14ac:dyDescent="0.35">
      <c r="B57" s="458" t="s">
        <v>379</v>
      </c>
      <c r="C57" s="459">
        <f>SUM(C58:C62)</f>
        <v>74534964.697881788</v>
      </c>
      <c r="D57" s="459">
        <f t="shared" ref="D57:L57" si="16">SUM(D58:D62)</f>
        <v>86696356.404354915</v>
      </c>
      <c r="E57" s="459">
        <f t="shared" si="16"/>
        <v>26375959.826538004</v>
      </c>
      <c r="F57" s="459">
        <f t="shared" si="16"/>
        <v>3404252.1238371921</v>
      </c>
      <c r="G57" s="459">
        <f t="shared" si="16"/>
        <v>20196581.582064129</v>
      </c>
      <c r="H57" s="459">
        <f t="shared" si="16"/>
        <v>5661248</v>
      </c>
      <c r="I57" s="459">
        <f t="shared" si="16"/>
        <v>7700781.6100000003</v>
      </c>
      <c r="J57" s="459">
        <f t="shared" si="16"/>
        <v>4990458.1500000004</v>
      </c>
      <c r="K57" s="459">
        <f t="shared" si="16"/>
        <v>1612120.98</v>
      </c>
      <c r="L57" s="459">
        <f t="shared" si="16"/>
        <v>231172723.37467605</v>
      </c>
      <c r="M57" s="754">
        <f>SUM(M58:M64)</f>
        <v>257048944.26217604</v>
      </c>
    </row>
    <row r="58" spans="2:13" ht="10.95" thickBot="1" x14ac:dyDescent="0.3">
      <c r="B58" s="458" t="s">
        <v>380</v>
      </c>
      <c r="C58" s="745">
        <f>C41*103%</f>
        <v>2167629.1479561902</v>
      </c>
      <c r="D58" s="745">
        <f t="shared" ref="D58:K58" si="17">D41*103%</f>
        <v>5323263.5135239614</v>
      </c>
      <c r="E58" s="745">
        <f t="shared" si="17"/>
        <v>1939343.8278726891</v>
      </c>
      <c r="F58" s="745">
        <f t="shared" si="17"/>
        <v>254856.54792916431</v>
      </c>
      <c r="G58" s="745">
        <f t="shared" si="17"/>
        <v>1942732.8201587361</v>
      </c>
      <c r="H58" s="745">
        <v>509158</v>
      </c>
      <c r="I58" s="745">
        <f t="shared" si="17"/>
        <v>502196.07</v>
      </c>
      <c r="J58" s="745">
        <f t="shared" si="17"/>
        <v>299922.61</v>
      </c>
      <c r="K58" s="745">
        <f t="shared" si="17"/>
        <v>186149.84</v>
      </c>
      <c r="L58" s="745">
        <f>SUM(C58:K58)</f>
        <v>13125252.377440741</v>
      </c>
      <c r="M58" s="748">
        <f>SUM(L58)</f>
        <v>13125252.377440741</v>
      </c>
    </row>
    <row r="59" spans="2:13" ht="10.95" thickBot="1" x14ac:dyDescent="0.3">
      <c r="B59" s="458" t="s">
        <v>381</v>
      </c>
      <c r="C59" s="745">
        <f>C42*103%</f>
        <v>1854697.9808503301</v>
      </c>
      <c r="D59" s="745">
        <f t="shared" ref="D59:K59" si="18">D42*103%</f>
        <v>719317.00793463003</v>
      </c>
      <c r="E59" s="745">
        <f t="shared" si="18"/>
        <v>358239.523222972</v>
      </c>
      <c r="F59" s="745">
        <f t="shared" si="18"/>
        <v>17425.588835493003</v>
      </c>
      <c r="G59" s="745">
        <f t="shared" si="18"/>
        <v>306125.69141775352</v>
      </c>
      <c r="H59" s="745">
        <v>0</v>
      </c>
      <c r="I59" s="745">
        <f t="shared" si="18"/>
        <v>106099.27</v>
      </c>
      <c r="J59" s="745">
        <f t="shared" si="18"/>
        <v>0</v>
      </c>
      <c r="K59" s="745">
        <f t="shared" si="18"/>
        <v>46759.94</v>
      </c>
      <c r="L59" s="745">
        <f>SUM(C59:K59)</f>
        <v>3408665.002261179</v>
      </c>
      <c r="M59" s="748">
        <f t="shared" ref="M59:M61" si="19">SUM(L59)</f>
        <v>3408665.002261179</v>
      </c>
    </row>
    <row r="60" spans="2:13" ht="10.95" thickBot="1" x14ac:dyDescent="0.3">
      <c r="B60" s="744" t="s">
        <v>382</v>
      </c>
      <c r="C60" s="745">
        <f>C43*103%</f>
        <v>15618666.411163278</v>
      </c>
      <c r="D60" s="745">
        <f t="shared" ref="D60:K60" si="20">D43*103%</f>
        <v>31706443.737070043</v>
      </c>
      <c r="E60" s="745">
        <f t="shared" si="20"/>
        <v>12375408.143250117</v>
      </c>
      <c r="F60" s="745">
        <f t="shared" si="20"/>
        <v>2748836.2959241886</v>
      </c>
      <c r="G60" s="745">
        <f t="shared" si="20"/>
        <v>9105197.6559619177</v>
      </c>
      <c r="H60" s="745">
        <v>5152090</v>
      </c>
      <c r="I60" s="745">
        <f t="shared" si="20"/>
        <v>7092486.2700000005</v>
      </c>
      <c r="J60" s="745">
        <f t="shared" si="20"/>
        <v>4690535.54</v>
      </c>
      <c r="K60" s="745">
        <f t="shared" si="20"/>
        <v>1379211.2</v>
      </c>
      <c r="L60" s="745">
        <f>SUM(C60:K60)</f>
        <v>89868875.253369555</v>
      </c>
      <c r="M60" s="748">
        <f t="shared" si="19"/>
        <v>89868875.253369555</v>
      </c>
    </row>
    <row r="61" spans="2:13" ht="10.95" thickBot="1" x14ac:dyDescent="0.3">
      <c r="B61" s="749" t="s">
        <v>383</v>
      </c>
      <c r="C61" s="742">
        <v>54893971.157911994</v>
      </c>
      <c r="D61" s="742">
        <f t="shared" ref="D61:F61" si="21">D44*1.03</f>
        <v>48947332.14582628</v>
      </c>
      <c r="E61" s="742">
        <f t="shared" si="21"/>
        <v>11702968.332192225</v>
      </c>
      <c r="F61" s="742">
        <f t="shared" si="21"/>
        <v>383133.69114834629</v>
      </c>
      <c r="G61" s="742">
        <f>G44*1.03</f>
        <v>8842525.4145257194</v>
      </c>
      <c r="H61" s="742">
        <v>0</v>
      </c>
      <c r="I61" s="742">
        <f t="shared" ref="I61:K61" si="22">I44*103%</f>
        <v>0</v>
      </c>
      <c r="J61" s="742">
        <f t="shared" si="22"/>
        <v>0</v>
      </c>
      <c r="K61" s="742">
        <f t="shared" si="22"/>
        <v>0</v>
      </c>
      <c r="L61" s="742">
        <f>SUM(C61:K61)</f>
        <v>124769930.74160455</v>
      </c>
      <c r="M61" s="747">
        <f t="shared" si="19"/>
        <v>124769930.74160455</v>
      </c>
    </row>
    <row r="62" spans="2:13" ht="10.95" thickBot="1" x14ac:dyDescent="0.3">
      <c r="B62" s="744" t="s">
        <v>638</v>
      </c>
      <c r="C62" s="745"/>
      <c r="D62" s="745"/>
      <c r="E62" s="745"/>
      <c r="F62" s="745"/>
      <c r="G62" s="745"/>
      <c r="H62" s="745"/>
      <c r="I62" s="745"/>
      <c r="J62" s="745"/>
      <c r="K62" s="745"/>
      <c r="L62" s="745"/>
      <c r="M62" s="460">
        <f>M45*103%</f>
        <v>3445688.355</v>
      </c>
    </row>
    <row r="63" spans="2:13" ht="10.95" thickBot="1" x14ac:dyDescent="0.3">
      <c r="B63" s="728" t="s">
        <v>639</v>
      </c>
      <c r="C63" s="468"/>
      <c r="D63" s="468"/>
      <c r="E63" s="468"/>
      <c r="F63" s="468"/>
      <c r="G63" s="468"/>
      <c r="H63" s="468"/>
      <c r="I63" s="468"/>
      <c r="J63" s="468"/>
      <c r="K63" s="468"/>
      <c r="L63" s="741"/>
      <c r="M63" s="743">
        <f>M46*103%</f>
        <v>5168532.5324999997</v>
      </c>
    </row>
    <row r="64" spans="2:13" ht="10.95" thickBot="1" x14ac:dyDescent="0.3">
      <c r="B64" s="728" t="s">
        <v>195</v>
      </c>
      <c r="C64" s="468"/>
      <c r="D64" s="468"/>
      <c r="E64" s="468"/>
      <c r="F64" s="468"/>
      <c r="G64" s="468"/>
      <c r="H64" s="468"/>
      <c r="I64" s="468"/>
      <c r="J64" s="468"/>
      <c r="K64" s="468"/>
      <c r="L64" s="741"/>
      <c r="M64" s="743">
        <v>17262000</v>
      </c>
    </row>
    <row r="65" spans="2:13" ht="10.5" x14ac:dyDescent="0.25">
      <c r="C65" s="452" t="s">
        <v>672</v>
      </c>
    </row>
    <row r="67" spans="2:13" ht="10.95" thickBot="1" x14ac:dyDescent="0.3"/>
    <row r="68" spans="2:13" ht="21.45" thickBot="1" x14ac:dyDescent="0.3">
      <c r="B68" s="750" t="s">
        <v>675</v>
      </c>
      <c r="C68" s="751" t="s">
        <v>243</v>
      </c>
      <c r="D68" s="751" t="s">
        <v>244</v>
      </c>
      <c r="E68" s="751" t="s">
        <v>267</v>
      </c>
      <c r="F68" s="751" t="s">
        <v>629</v>
      </c>
      <c r="G68" s="751" t="s">
        <v>247</v>
      </c>
      <c r="H68" s="751" t="s">
        <v>231</v>
      </c>
      <c r="I68" s="751" t="s">
        <v>230</v>
      </c>
      <c r="J68" s="752" t="s">
        <v>232</v>
      </c>
      <c r="K68" s="751" t="s">
        <v>631</v>
      </c>
      <c r="L68" s="752" t="s">
        <v>632</v>
      </c>
      <c r="M68" s="751" t="s">
        <v>637</v>
      </c>
    </row>
    <row r="69" spans="2:13" ht="13.5" thickBot="1" x14ac:dyDescent="0.35">
      <c r="B69" s="458" t="s">
        <v>379</v>
      </c>
      <c r="C69" s="459">
        <f>SUM(C70:C74)</f>
        <v>84124468.218881175</v>
      </c>
      <c r="D69" s="459">
        <f t="shared" ref="D69:L69" si="23">SUM(D70:D74)</f>
        <v>88430283.532442003</v>
      </c>
      <c r="E69" s="459">
        <f t="shared" si="23"/>
        <v>26903479.023068763</v>
      </c>
      <c r="F69" s="459">
        <f t="shared" si="23"/>
        <v>3472337.166313936</v>
      </c>
      <c r="G69" s="459">
        <f t="shared" si="23"/>
        <v>20600513.213705409</v>
      </c>
      <c r="H69" s="459">
        <f t="shared" si="23"/>
        <v>5661248</v>
      </c>
      <c r="I69" s="459">
        <f t="shared" si="23"/>
        <v>7854797.2422000002</v>
      </c>
      <c r="J69" s="459">
        <f t="shared" si="23"/>
        <v>5090267.3130000001</v>
      </c>
      <c r="K69" s="459">
        <f t="shared" si="23"/>
        <v>1644363.3995999999</v>
      </c>
      <c r="L69" s="459">
        <f t="shared" si="23"/>
        <v>243781757.10921127</v>
      </c>
      <c r="M69" s="754">
        <f>SUM(M70:M76)</f>
        <v>269830262.41446126</v>
      </c>
    </row>
    <row r="70" spans="2:13" ht="10.95" thickBot="1" x14ac:dyDescent="0.3">
      <c r="B70" s="458" t="s">
        <v>380</v>
      </c>
      <c r="C70" s="745">
        <f>C58*102%</f>
        <v>2210981.7309153141</v>
      </c>
      <c r="D70" s="745">
        <f t="shared" ref="D70:K70" si="24">D58*102%</f>
        <v>5429728.7837944403</v>
      </c>
      <c r="E70" s="745">
        <f t="shared" si="24"/>
        <v>1978130.7044301429</v>
      </c>
      <c r="F70" s="745">
        <f t="shared" si="24"/>
        <v>259953.67888774761</v>
      </c>
      <c r="G70" s="745">
        <f t="shared" si="24"/>
        <v>1981587.4765619109</v>
      </c>
      <c r="H70" s="745">
        <v>509158</v>
      </c>
      <c r="I70" s="745">
        <f t="shared" si="24"/>
        <v>512239.9914</v>
      </c>
      <c r="J70" s="745">
        <f t="shared" si="24"/>
        <v>305921.06219999999</v>
      </c>
      <c r="K70" s="745">
        <f t="shared" si="24"/>
        <v>189872.83679999999</v>
      </c>
      <c r="L70" s="745">
        <f>SUM(C70:K70)</f>
        <v>13377574.264989555</v>
      </c>
      <c r="M70" s="748">
        <f>SUM(L70)</f>
        <v>13377574.264989555</v>
      </c>
    </row>
    <row r="71" spans="2:13" ht="10.95" thickBot="1" x14ac:dyDescent="0.3">
      <c r="B71" s="458" t="s">
        <v>381</v>
      </c>
      <c r="C71" s="745">
        <f t="shared" ref="C71:C72" si="25">C59*102%</f>
        <v>1891791.9404673367</v>
      </c>
      <c r="D71" s="745">
        <f t="shared" ref="D71:K71" si="26">D59*102%</f>
        <v>733703.34809332259</v>
      </c>
      <c r="E71" s="745">
        <f t="shared" si="26"/>
        <v>365404.31368743145</v>
      </c>
      <c r="F71" s="745">
        <f t="shared" si="26"/>
        <v>17774.100612202863</v>
      </c>
      <c r="G71" s="745">
        <f t="shared" si="26"/>
        <v>312248.20524610858</v>
      </c>
      <c r="H71" s="745">
        <v>0</v>
      </c>
      <c r="I71" s="745">
        <f t="shared" si="26"/>
        <v>108221.25540000001</v>
      </c>
      <c r="J71" s="745">
        <f t="shared" si="26"/>
        <v>0</v>
      </c>
      <c r="K71" s="745">
        <f t="shared" si="26"/>
        <v>47695.138800000001</v>
      </c>
      <c r="L71" s="745">
        <f>SUM(C71:K71)</f>
        <v>3476838.302306402</v>
      </c>
      <c r="M71" s="748">
        <f t="shared" ref="M71:M73" si="27">SUM(L71)</f>
        <v>3476838.302306402</v>
      </c>
    </row>
    <row r="72" spans="2:13" ht="10.95" thickBot="1" x14ac:dyDescent="0.3">
      <c r="B72" s="744" t="s">
        <v>382</v>
      </c>
      <c r="C72" s="745">
        <f t="shared" si="25"/>
        <v>15931039.739386544</v>
      </c>
      <c r="D72" s="745">
        <f t="shared" ref="D72:K72" si="28">D60*102%</f>
        <v>32340572.611811444</v>
      </c>
      <c r="E72" s="745">
        <f t="shared" si="28"/>
        <v>12622916.306115119</v>
      </c>
      <c r="F72" s="745">
        <f t="shared" si="28"/>
        <v>2803813.0218426725</v>
      </c>
      <c r="G72" s="745">
        <f t="shared" si="28"/>
        <v>9287301.6090811566</v>
      </c>
      <c r="H72" s="745">
        <v>5152090</v>
      </c>
      <c r="I72" s="745">
        <f t="shared" si="28"/>
        <v>7234335.9954000004</v>
      </c>
      <c r="J72" s="745">
        <f t="shared" si="28"/>
        <v>4784346.2508000005</v>
      </c>
      <c r="K72" s="745">
        <f t="shared" si="28"/>
        <v>1406795.4239999999</v>
      </c>
      <c r="L72" s="745">
        <f>SUM(C72:K72)</f>
        <v>91563210.958436936</v>
      </c>
      <c r="M72" s="748">
        <f t="shared" si="27"/>
        <v>91563210.958436936</v>
      </c>
    </row>
    <row r="73" spans="2:13" ht="10.95" thickBot="1" x14ac:dyDescent="0.3">
      <c r="B73" s="749" t="s">
        <v>383</v>
      </c>
      <c r="C73" s="742">
        <v>64090654.808111981</v>
      </c>
      <c r="D73" s="742">
        <f t="shared" ref="D73:K73" si="29">D61*102%</f>
        <v>49926278.788742803</v>
      </c>
      <c r="E73" s="742">
        <f t="shared" si="29"/>
        <v>11937027.69883607</v>
      </c>
      <c r="F73" s="742">
        <f t="shared" si="29"/>
        <v>390796.36497131322</v>
      </c>
      <c r="G73" s="742">
        <f t="shared" si="29"/>
        <v>9019375.9228162337</v>
      </c>
      <c r="H73" s="742">
        <v>0</v>
      </c>
      <c r="I73" s="742">
        <f t="shared" si="29"/>
        <v>0</v>
      </c>
      <c r="J73" s="742">
        <f t="shared" si="29"/>
        <v>0</v>
      </c>
      <c r="K73" s="742">
        <f t="shared" si="29"/>
        <v>0</v>
      </c>
      <c r="L73" s="742">
        <f>SUM(C73:K73)</f>
        <v>135364133.58347839</v>
      </c>
      <c r="M73" s="747">
        <f t="shared" si="27"/>
        <v>135364133.58347839</v>
      </c>
    </row>
    <row r="74" spans="2:13" ht="10.95" thickBot="1" x14ac:dyDescent="0.3">
      <c r="B74" s="744" t="s">
        <v>638</v>
      </c>
      <c r="C74" s="745"/>
      <c r="D74" s="745"/>
      <c r="E74" s="745"/>
      <c r="F74" s="745"/>
      <c r="G74" s="745"/>
      <c r="H74" s="745"/>
      <c r="I74" s="745"/>
      <c r="J74" s="745"/>
      <c r="K74" s="745"/>
      <c r="L74" s="745"/>
      <c r="M74" s="460">
        <f>M62*102%</f>
        <v>3514602.1221000003</v>
      </c>
    </row>
    <row r="75" spans="2:13" ht="10.95" thickBot="1" x14ac:dyDescent="0.3">
      <c r="B75" s="728" t="s">
        <v>639</v>
      </c>
      <c r="C75" s="468"/>
      <c r="D75" s="468"/>
      <c r="E75" s="468"/>
      <c r="F75" s="468"/>
      <c r="G75" s="468"/>
      <c r="H75" s="468"/>
      <c r="I75" s="468"/>
      <c r="J75" s="468"/>
      <c r="K75" s="468"/>
      <c r="L75" s="741"/>
      <c r="M75" s="743">
        <f>M63*102%</f>
        <v>5271903.1831499999</v>
      </c>
    </row>
    <row r="76" spans="2:13" ht="10.95" thickBot="1" x14ac:dyDescent="0.3">
      <c r="B76" s="728" t="s">
        <v>195</v>
      </c>
      <c r="C76" s="468"/>
      <c r="D76" s="468"/>
      <c r="E76" s="468"/>
      <c r="F76" s="468"/>
      <c r="G76" s="468"/>
      <c r="H76" s="468"/>
      <c r="I76" s="468"/>
      <c r="J76" s="468"/>
      <c r="K76" s="468"/>
      <c r="L76" s="741"/>
      <c r="M76" s="743">
        <v>17262000</v>
      </c>
    </row>
    <row r="77" spans="2:13" ht="10.5" x14ac:dyDescent="0.25">
      <c r="C77" s="452" t="s">
        <v>672</v>
      </c>
    </row>
    <row r="79" spans="2:13" ht="10.95" thickBot="1" x14ac:dyDescent="0.3"/>
    <row r="80" spans="2:13" ht="21.45" thickBot="1" x14ac:dyDescent="0.3">
      <c r="B80" s="750" t="s">
        <v>656</v>
      </c>
      <c r="C80" s="751" t="s">
        <v>243</v>
      </c>
      <c r="D80" s="751" t="s">
        <v>244</v>
      </c>
      <c r="E80" s="751" t="s">
        <v>267</v>
      </c>
      <c r="F80" s="751" t="s">
        <v>629</v>
      </c>
      <c r="G80" s="751" t="s">
        <v>247</v>
      </c>
      <c r="H80" s="751" t="s">
        <v>231</v>
      </c>
      <c r="I80" s="751" t="s">
        <v>230</v>
      </c>
      <c r="J80" s="752" t="s">
        <v>232</v>
      </c>
      <c r="K80" s="751" t="s">
        <v>631</v>
      </c>
      <c r="L80" s="752" t="s">
        <v>632</v>
      </c>
      <c r="M80" s="751" t="s">
        <v>637</v>
      </c>
    </row>
    <row r="81" spans="2:13" ht="13.5" thickBot="1" x14ac:dyDescent="0.35">
      <c r="B81" s="458" t="s">
        <v>379</v>
      </c>
      <c r="C81" s="459">
        <f>SUM(C82:C86)</f>
        <v>82441978.854503557</v>
      </c>
      <c r="D81" s="459">
        <f t="shared" ref="D81:L81" si="30">SUM(D82:D86)</f>
        <v>86661677.861793175</v>
      </c>
      <c r="E81" s="459">
        <f t="shared" si="30"/>
        <v>26365409.442607388</v>
      </c>
      <c r="F81" s="459">
        <f t="shared" si="30"/>
        <v>3402890.4229876571</v>
      </c>
      <c r="G81" s="459">
        <f t="shared" si="30"/>
        <v>20188502.9494313</v>
      </c>
      <c r="H81" s="459">
        <f t="shared" si="30"/>
        <v>5661248</v>
      </c>
      <c r="I81" s="459">
        <f t="shared" si="30"/>
        <v>7697701.2973560002</v>
      </c>
      <c r="J81" s="459">
        <f t="shared" si="30"/>
        <v>4988461.966740001</v>
      </c>
      <c r="K81" s="459">
        <f t="shared" si="30"/>
        <v>1611476.131608</v>
      </c>
      <c r="L81" s="459">
        <f t="shared" si="30"/>
        <v>239019346.92702705</v>
      </c>
      <c r="M81" s="754">
        <f>SUM(M82:M88)</f>
        <v>265331447.39143455</v>
      </c>
    </row>
    <row r="82" spans="2:13" ht="10.95" thickBot="1" x14ac:dyDescent="0.3">
      <c r="B82" s="458" t="s">
        <v>380</v>
      </c>
      <c r="C82" s="745">
        <f>C70*98%</f>
        <v>2166762.0962970075</v>
      </c>
      <c r="D82" s="745">
        <f t="shared" ref="D82:K82" si="31">D70*98%</f>
        <v>5321134.2081185514</v>
      </c>
      <c r="E82" s="745">
        <f t="shared" si="31"/>
        <v>1938568.0903415401</v>
      </c>
      <c r="F82" s="745">
        <f t="shared" si="31"/>
        <v>254754.60530999265</v>
      </c>
      <c r="G82" s="745">
        <f t="shared" si="31"/>
        <v>1941955.7270306726</v>
      </c>
      <c r="H82" s="745">
        <v>509158</v>
      </c>
      <c r="I82" s="745">
        <f t="shared" si="31"/>
        <v>501995.19157199998</v>
      </c>
      <c r="J82" s="745">
        <f t="shared" si="31"/>
        <v>299802.64095599996</v>
      </c>
      <c r="K82" s="745">
        <f t="shared" si="31"/>
        <v>186075.380064</v>
      </c>
      <c r="L82" s="745">
        <f>SUM(C82:K82)</f>
        <v>13120205.939689763</v>
      </c>
      <c r="M82" s="748">
        <f>SUM(L82)</f>
        <v>13120205.939689763</v>
      </c>
    </row>
    <row r="83" spans="2:13" ht="10.95" thickBot="1" x14ac:dyDescent="0.3">
      <c r="B83" s="458" t="s">
        <v>381</v>
      </c>
      <c r="C83" s="745">
        <f t="shared" ref="C83:C85" si="32">C71*98%</f>
        <v>1853956.1016579899</v>
      </c>
      <c r="D83" s="745">
        <f t="shared" ref="D83:K83" si="33">D71*98%</f>
        <v>719029.28113145614</v>
      </c>
      <c r="E83" s="745">
        <f t="shared" si="33"/>
        <v>358096.22741368279</v>
      </c>
      <c r="F83" s="745">
        <f t="shared" si="33"/>
        <v>17418.618599958805</v>
      </c>
      <c r="G83" s="745">
        <f t="shared" si="33"/>
        <v>306003.24114118639</v>
      </c>
      <c r="H83" s="745">
        <v>0</v>
      </c>
      <c r="I83" s="745">
        <f t="shared" si="33"/>
        <v>106056.83029200001</v>
      </c>
      <c r="J83" s="745">
        <f t="shared" si="33"/>
        <v>0</v>
      </c>
      <c r="K83" s="745">
        <f t="shared" si="33"/>
        <v>46741.236023999998</v>
      </c>
      <c r="L83" s="745">
        <f>SUM(C83:K83)</f>
        <v>3407301.5362602742</v>
      </c>
      <c r="M83" s="748">
        <f t="shared" ref="M83:M85" si="34">SUM(L83)</f>
        <v>3407301.5362602742</v>
      </c>
    </row>
    <row r="84" spans="2:13" ht="10.95" thickBot="1" x14ac:dyDescent="0.3">
      <c r="B84" s="744" t="s">
        <v>382</v>
      </c>
      <c r="C84" s="745">
        <f t="shared" si="32"/>
        <v>15612418.944598813</v>
      </c>
      <c r="D84" s="745">
        <f t="shared" ref="D84:K84" si="35">D72*98%</f>
        <v>31693761.159575216</v>
      </c>
      <c r="E84" s="745">
        <f t="shared" si="35"/>
        <v>12370457.979992816</v>
      </c>
      <c r="F84" s="745">
        <f t="shared" si="35"/>
        <v>2747736.7614058191</v>
      </c>
      <c r="G84" s="745">
        <f t="shared" si="35"/>
        <v>9101555.5768995341</v>
      </c>
      <c r="H84" s="745">
        <v>5152090</v>
      </c>
      <c r="I84" s="745">
        <f t="shared" si="35"/>
        <v>7089649.2754920004</v>
      </c>
      <c r="J84" s="745">
        <f t="shared" si="35"/>
        <v>4688659.3257840006</v>
      </c>
      <c r="K84" s="745">
        <f t="shared" si="35"/>
        <v>1378659.5155199999</v>
      </c>
      <c r="L84" s="745">
        <f>SUM(C84:K84)</f>
        <v>89834988.539268196</v>
      </c>
      <c r="M84" s="748">
        <f t="shared" si="34"/>
        <v>89834988.539268196</v>
      </c>
    </row>
    <row r="85" spans="2:13" ht="10.95" thickBot="1" x14ac:dyDescent="0.3">
      <c r="B85" s="749" t="s">
        <v>383</v>
      </c>
      <c r="C85" s="742">
        <f t="shared" si="32"/>
        <v>62808841.711949743</v>
      </c>
      <c r="D85" s="742">
        <f t="shared" ref="D85:K85" si="36">D73*98%</f>
        <v>48927753.212967947</v>
      </c>
      <c r="E85" s="742">
        <f t="shared" si="36"/>
        <v>11698287.144859347</v>
      </c>
      <c r="F85" s="742">
        <f t="shared" si="36"/>
        <v>382980.43767188693</v>
      </c>
      <c r="G85" s="742">
        <f t="shared" si="36"/>
        <v>8838988.4043599088</v>
      </c>
      <c r="H85" s="742">
        <v>0</v>
      </c>
      <c r="I85" s="742">
        <f t="shared" si="36"/>
        <v>0</v>
      </c>
      <c r="J85" s="742">
        <f t="shared" si="36"/>
        <v>0</v>
      </c>
      <c r="K85" s="742">
        <f t="shared" si="36"/>
        <v>0</v>
      </c>
      <c r="L85" s="742">
        <f>SUM(C85:K85)</f>
        <v>132656850.91180883</v>
      </c>
      <c r="M85" s="747">
        <f t="shared" si="34"/>
        <v>132656850.91180883</v>
      </c>
    </row>
    <row r="86" spans="2:13" ht="10.95" thickBot="1" x14ac:dyDescent="0.3">
      <c r="B86" s="744" t="s">
        <v>638</v>
      </c>
      <c r="C86" s="745"/>
      <c r="D86" s="745"/>
      <c r="E86" s="745"/>
      <c r="F86" s="745"/>
      <c r="G86" s="745"/>
      <c r="H86" s="745"/>
      <c r="I86" s="745"/>
      <c r="J86" s="745"/>
      <c r="K86" s="745"/>
      <c r="L86" s="745"/>
      <c r="M86" s="460">
        <f>M74*103%</f>
        <v>3620040.1857630005</v>
      </c>
    </row>
    <row r="87" spans="2:13" ht="10.95" thickBot="1" x14ac:dyDescent="0.3">
      <c r="B87" s="728" t="s">
        <v>639</v>
      </c>
      <c r="C87" s="468"/>
      <c r="D87" s="468"/>
      <c r="E87" s="468"/>
      <c r="F87" s="468"/>
      <c r="G87" s="468"/>
      <c r="H87" s="468"/>
      <c r="I87" s="468"/>
      <c r="J87" s="468"/>
      <c r="K87" s="468"/>
      <c r="L87" s="741"/>
      <c r="M87" s="743">
        <f>M75*103%</f>
        <v>5430060.2786445003</v>
      </c>
    </row>
    <row r="88" spans="2:13" ht="10.8" thickBot="1" x14ac:dyDescent="0.25">
      <c r="B88" s="728" t="s">
        <v>195</v>
      </c>
      <c r="C88" s="468"/>
      <c r="D88" s="468"/>
      <c r="E88" s="468"/>
      <c r="F88" s="468"/>
      <c r="G88" s="468"/>
      <c r="H88" s="468"/>
      <c r="I88" s="468"/>
      <c r="J88" s="468"/>
      <c r="K88" s="468"/>
      <c r="L88" s="741"/>
      <c r="M88" s="743">
        <v>17262000</v>
      </c>
    </row>
    <row r="91" spans="2:13" ht="10.8" thickBot="1" x14ac:dyDescent="0.25"/>
    <row r="92" spans="2:13" ht="21" thickBot="1" x14ac:dyDescent="0.25">
      <c r="B92" s="750" t="s">
        <v>657</v>
      </c>
      <c r="C92" s="751" t="s">
        <v>243</v>
      </c>
      <c r="D92" s="751" t="s">
        <v>244</v>
      </c>
      <c r="E92" s="751" t="s">
        <v>267</v>
      </c>
      <c r="F92" s="751" t="s">
        <v>629</v>
      </c>
      <c r="G92" s="751" t="s">
        <v>247</v>
      </c>
      <c r="H92" s="751" t="s">
        <v>231</v>
      </c>
      <c r="I92" s="751" t="s">
        <v>230</v>
      </c>
      <c r="J92" s="752" t="s">
        <v>232</v>
      </c>
      <c r="K92" s="751" t="s">
        <v>631</v>
      </c>
      <c r="L92" s="752" t="s">
        <v>632</v>
      </c>
      <c r="M92" s="751" t="s">
        <v>637</v>
      </c>
    </row>
    <row r="93" spans="2:13" ht="14.4" thickBot="1" x14ac:dyDescent="0.35">
      <c r="B93" s="458" t="s">
        <v>379</v>
      </c>
      <c r="C93" s="459">
        <f>SUM(C94:C98)</f>
        <v>84915238.220138669</v>
      </c>
      <c r="D93" s="459">
        <f t="shared" ref="D93:L93" si="37">SUM(D94:D98)</f>
        <v>89261528.197646976</v>
      </c>
      <c r="E93" s="459">
        <f t="shared" si="37"/>
        <v>27156371.725885611</v>
      </c>
      <c r="F93" s="459">
        <f t="shared" si="37"/>
        <v>3504977.1356772869</v>
      </c>
      <c r="G93" s="459">
        <f t="shared" si="37"/>
        <v>20794158.037914239</v>
      </c>
      <c r="H93" s="459">
        <f t="shared" si="37"/>
        <v>5661248</v>
      </c>
      <c r="I93" s="459">
        <f t="shared" si="37"/>
        <v>7928632.3362766802</v>
      </c>
      <c r="J93" s="459">
        <f t="shared" si="37"/>
        <v>5138115.8257422009</v>
      </c>
      <c r="K93" s="459">
        <f t="shared" si="37"/>
        <v>1659820.4155562399</v>
      </c>
      <c r="L93" s="459">
        <f t="shared" si="37"/>
        <v>246020089.89483792</v>
      </c>
      <c r="M93" s="754">
        <f>SUM(M94:M100)</f>
        <v>272603693.37317765</v>
      </c>
    </row>
    <row r="94" spans="2:13" ht="10.8" thickBot="1" x14ac:dyDescent="0.25">
      <c r="B94" s="458" t="s">
        <v>380</v>
      </c>
      <c r="C94" s="745">
        <f>C82*103%</f>
        <v>2231764.9591859179</v>
      </c>
      <c r="D94" s="745">
        <f t="shared" ref="D94:K94" si="38">D82*103%</f>
        <v>5480768.2343621077</v>
      </c>
      <c r="E94" s="745">
        <f t="shared" si="38"/>
        <v>1996725.1330517863</v>
      </c>
      <c r="F94" s="745">
        <f t="shared" si="38"/>
        <v>262397.24346929241</v>
      </c>
      <c r="G94" s="745">
        <f t="shared" si="38"/>
        <v>2000214.3988415927</v>
      </c>
      <c r="H94" s="745">
        <v>509158</v>
      </c>
      <c r="I94" s="745">
        <f t="shared" si="38"/>
        <v>517055.04731916002</v>
      </c>
      <c r="J94" s="745">
        <f t="shared" si="38"/>
        <v>308796.72018467996</v>
      </c>
      <c r="K94" s="745">
        <f t="shared" si="38"/>
        <v>191657.64146591999</v>
      </c>
      <c r="L94" s="745">
        <f>SUM(C94:K94)</f>
        <v>13498537.377880458</v>
      </c>
      <c r="M94" s="748">
        <f>SUM(L94)</f>
        <v>13498537.377880458</v>
      </c>
    </row>
    <row r="95" spans="2:13" ht="10.8" thickBot="1" x14ac:dyDescent="0.25">
      <c r="B95" s="458" t="s">
        <v>381</v>
      </c>
      <c r="C95" s="745">
        <f t="shared" ref="C95:C97" si="39">C83*103%</f>
        <v>1909574.7847077297</v>
      </c>
      <c r="D95" s="745">
        <f t="shared" ref="D95:K95" si="40">D83*103%</f>
        <v>740600.15956539987</v>
      </c>
      <c r="E95" s="745">
        <f t="shared" si="40"/>
        <v>368839.1142360933</v>
      </c>
      <c r="F95" s="745">
        <f t="shared" si="40"/>
        <v>17941.177157957569</v>
      </c>
      <c r="G95" s="745">
        <f t="shared" si="40"/>
        <v>315183.338375422</v>
      </c>
      <c r="H95" s="745">
        <v>0</v>
      </c>
      <c r="I95" s="745">
        <f t="shared" si="40"/>
        <v>109238.53520076002</v>
      </c>
      <c r="J95" s="745">
        <f t="shared" si="40"/>
        <v>0</v>
      </c>
      <c r="K95" s="745">
        <f t="shared" si="40"/>
        <v>48143.473104719997</v>
      </c>
      <c r="L95" s="745">
        <f>SUM(C95:K95)</f>
        <v>3509520.5823480827</v>
      </c>
      <c r="M95" s="748">
        <f t="shared" ref="M95:M97" si="41">SUM(L95)</f>
        <v>3509520.5823480827</v>
      </c>
    </row>
    <row r="96" spans="2:13" ht="10.8" thickBot="1" x14ac:dyDescent="0.25">
      <c r="B96" s="744" t="s">
        <v>382</v>
      </c>
      <c r="C96" s="745">
        <f t="shared" si="39"/>
        <v>16080791.512936777</v>
      </c>
      <c r="D96" s="745">
        <f t="shared" ref="D96:K96" si="42">D84*103%</f>
        <v>32644573.994362473</v>
      </c>
      <c r="E96" s="745">
        <f t="shared" si="42"/>
        <v>12741571.719392601</v>
      </c>
      <c r="F96" s="745">
        <f t="shared" si="42"/>
        <v>2830168.8642479936</v>
      </c>
      <c r="G96" s="745">
        <f t="shared" si="42"/>
        <v>9374602.2442065198</v>
      </c>
      <c r="H96" s="745">
        <v>5152090</v>
      </c>
      <c r="I96" s="745">
        <f t="shared" si="42"/>
        <v>7302338.7537567606</v>
      </c>
      <c r="J96" s="745">
        <f t="shared" si="42"/>
        <v>4829319.1055575209</v>
      </c>
      <c r="K96" s="745">
        <f t="shared" si="42"/>
        <v>1420019.3009855999</v>
      </c>
      <c r="L96" s="745">
        <f>SUM(C96:K96)</f>
        <v>92375475.49544625</v>
      </c>
      <c r="M96" s="748">
        <f t="shared" si="41"/>
        <v>92375475.49544625</v>
      </c>
    </row>
    <row r="97" spans="2:13" ht="10.8" thickBot="1" x14ac:dyDescent="0.25">
      <c r="B97" s="749" t="s">
        <v>383</v>
      </c>
      <c r="C97" s="742">
        <f t="shared" si="39"/>
        <v>64693106.963308237</v>
      </c>
      <c r="D97" s="742">
        <f t="shared" ref="D97:K97" si="43">D85*103%</f>
        <v>50395585.809356987</v>
      </c>
      <c r="E97" s="742">
        <f t="shared" si="43"/>
        <v>12049235.759205129</v>
      </c>
      <c r="F97" s="742">
        <f t="shared" si="43"/>
        <v>394469.85080204357</v>
      </c>
      <c r="G97" s="742">
        <f t="shared" si="43"/>
        <v>9104158.0564907063</v>
      </c>
      <c r="H97" s="742">
        <v>0</v>
      </c>
      <c r="I97" s="742">
        <f t="shared" si="43"/>
        <v>0</v>
      </c>
      <c r="J97" s="742">
        <f t="shared" si="43"/>
        <v>0</v>
      </c>
      <c r="K97" s="742">
        <f t="shared" si="43"/>
        <v>0</v>
      </c>
      <c r="L97" s="742">
        <f>SUM(C97:K97)</f>
        <v>136636556.43916312</v>
      </c>
      <c r="M97" s="747">
        <f t="shared" si="41"/>
        <v>136636556.43916312</v>
      </c>
    </row>
    <row r="98" spans="2:13" ht="10.8" thickBot="1" x14ac:dyDescent="0.25">
      <c r="B98" s="744" t="s">
        <v>638</v>
      </c>
      <c r="C98" s="745"/>
      <c r="D98" s="745"/>
      <c r="E98" s="745"/>
      <c r="F98" s="745"/>
      <c r="G98" s="745"/>
      <c r="H98" s="745"/>
      <c r="I98" s="745"/>
      <c r="J98" s="745"/>
      <c r="K98" s="745"/>
      <c r="L98" s="745"/>
      <c r="M98" s="460">
        <f>M86*103%</f>
        <v>3728641.3913358906</v>
      </c>
    </row>
    <row r="99" spans="2:13" ht="10.8" thickBot="1" x14ac:dyDescent="0.25">
      <c r="B99" s="728" t="s">
        <v>639</v>
      </c>
      <c r="C99" s="468"/>
      <c r="D99" s="468"/>
      <c r="E99" s="468"/>
      <c r="F99" s="468"/>
      <c r="G99" s="468"/>
      <c r="H99" s="468"/>
      <c r="I99" s="468"/>
      <c r="J99" s="468"/>
      <c r="K99" s="468"/>
      <c r="L99" s="741"/>
      <c r="M99" s="743">
        <f>M87*103%</f>
        <v>5592962.0870038355</v>
      </c>
    </row>
    <row r="100" spans="2:13" ht="10.8" thickBot="1" x14ac:dyDescent="0.25">
      <c r="B100" s="728" t="s">
        <v>195</v>
      </c>
      <c r="C100" s="468"/>
      <c r="D100" s="468"/>
      <c r="E100" s="468"/>
      <c r="F100" s="468"/>
      <c r="G100" s="468"/>
      <c r="H100" s="468"/>
      <c r="I100" s="468"/>
      <c r="J100" s="468"/>
      <c r="K100" s="468"/>
      <c r="L100" s="741"/>
      <c r="M100" s="743">
        <v>17262000</v>
      </c>
    </row>
    <row r="103" spans="2:13" ht="10.8" thickBot="1" x14ac:dyDescent="0.25"/>
    <row r="104" spans="2:13" ht="21" thickBot="1" x14ac:dyDescent="0.25">
      <c r="B104" s="750" t="s">
        <v>658</v>
      </c>
      <c r="C104" s="751" t="s">
        <v>243</v>
      </c>
      <c r="D104" s="751" t="s">
        <v>244</v>
      </c>
      <c r="E104" s="751" t="s">
        <v>267</v>
      </c>
      <c r="F104" s="751" t="s">
        <v>629</v>
      </c>
      <c r="G104" s="751" t="s">
        <v>247</v>
      </c>
      <c r="H104" s="751" t="s">
        <v>231</v>
      </c>
      <c r="I104" s="751" t="s">
        <v>230</v>
      </c>
      <c r="J104" s="752" t="s">
        <v>232</v>
      </c>
      <c r="K104" s="751" t="s">
        <v>631</v>
      </c>
      <c r="L104" s="752" t="s">
        <v>632</v>
      </c>
      <c r="M104" s="751" t="s">
        <v>637</v>
      </c>
    </row>
    <row r="105" spans="2:13" ht="14.4" thickBot="1" x14ac:dyDescent="0.35">
      <c r="B105" s="458" t="s">
        <v>379</v>
      </c>
      <c r="C105" s="459">
        <f>SUM(C106:C110)</f>
        <v>87462695.36674282</v>
      </c>
      <c r="D105" s="459">
        <f t="shared" ref="D105:L105" si="44">SUM(D106:D110)</f>
        <v>91939374.04357639</v>
      </c>
      <c r="E105" s="459">
        <f t="shared" si="44"/>
        <v>27971062.877662178</v>
      </c>
      <c r="F105" s="459">
        <f t="shared" si="44"/>
        <v>3610126.4497476057</v>
      </c>
      <c r="G105" s="459">
        <f t="shared" si="44"/>
        <v>21417982.779051669</v>
      </c>
      <c r="H105" s="459">
        <f t="shared" si="44"/>
        <v>5661248</v>
      </c>
      <c r="I105" s="459">
        <f t="shared" si="44"/>
        <v>8166491.3063649815</v>
      </c>
      <c r="J105" s="459">
        <f t="shared" si="44"/>
        <v>5292259.3005144671</v>
      </c>
      <c r="K105" s="459">
        <f t="shared" si="44"/>
        <v>1709615.028022927</v>
      </c>
      <c r="L105" s="459">
        <f t="shared" si="44"/>
        <v>253230855.15168303</v>
      </c>
      <c r="M105" s="754">
        <f>SUM(M106:M112)</f>
        <v>280094106.73437297</v>
      </c>
    </row>
    <row r="106" spans="2:13" ht="10.8" thickBot="1" x14ac:dyDescent="0.25">
      <c r="B106" s="458" t="s">
        <v>380</v>
      </c>
      <c r="C106" s="745">
        <f>C94*103%</f>
        <v>2298717.9079614957</v>
      </c>
      <c r="D106" s="745">
        <f t="shared" ref="D106:K106" si="45">D94*103%</f>
        <v>5645191.2813929711</v>
      </c>
      <c r="E106" s="745">
        <f t="shared" si="45"/>
        <v>2056626.8870433399</v>
      </c>
      <c r="F106" s="745">
        <f t="shared" si="45"/>
        <v>270269.16077337117</v>
      </c>
      <c r="G106" s="745">
        <f t="shared" si="45"/>
        <v>2060220.8308068404</v>
      </c>
      <c r="H106" s="745">
        <v>509158</v>
      </c>
      <c r="I106" s="745">
        <f t="shared" si="45"/>
        <v>532566.69873873482</v>
      </c>
      <c r="J106" s="745">
        <f t="shared" si="45"/>
        <v>318060.62179022038</v>
      </c>
      <c r="K106" s="745">
        <f t="shared" si="45"/>
        <v>197407.3707098976</v>
      </c>
      <c r="L106" s="745">
        <f>SUM(C106:K106)</f>
        <v>13888218.759216871</v>
      </c>
      <c r="M106" s="748">
        <f>SUM(L106)</f>
        <v>13888218.759216871</v>
      </c>
    </row>
    <row r="107" spans="2:13" ht="10.8" thickBot="1" x14ac:dyDescent="0.25">
      <c r="B107" s="458" t="s">
        <v>381</v>
      </c>
      <c r="C107" s="745">
        <f t="shared" ref="C107:C109" si="46">C95*103%</f>
        <v>1966862.0282489615</v>
      </c>
      <c r="D107" s="745">
        <f t="shared" ref="D107:K107" si="47">D95*103%</f>
        <v>762818.16435236193</v>
      </c>
      <c r="E107" s="745">
        <f t="shared" si="47"/>
        <v>379904.28766317613</v>
      </c>
      <c r="F107" s="745">
        <f t="shared" si="47"/>
        <v>18479.412472696298</v>
      </c>
      <c r="G107" s="745">
        <f t="shared" si="47"/>
        <v>324638.83852668467</v>
      </c>
      <c r="H107" s="745">
        <v>0</v>
      </c>
      <c r="I107" s="745">
        <f t="shared" si="47"/>
        <v>112515.69125678283</v>
      </c>
      <c r="J107" s="745">
        <f t="shared" si="47"/>
        <v>0</v>
      </c>
      <c r="K107" s="745">
        <f t="shared" si="47"/>
        <v>49587.777297861598</v>
      </c>
      <c r="L107" s="745">
        <f>SUM(C107:K107)</f>
        <v>3614806.1998185255</v>
      </c>
      <c r="M107" s="748">
        <f t="shared" ref="M107:M109" si="48">SUM(L107)</f>
        <v>3614806.1998185255</v>
      </c>
    </row>
    <row r="108" spans="2:13" ht="10.8" thickBot="1" x14ac:dyDescent="0.25">
      <c r="B108" s="744" t="s">
        <v>382</v>
      </c>
      <c r="C108" s="745">
        <f t="shared" si="46"/>
        <v>16563215.25832488</v>
      </c>
      <c r="D108" s="745">
        <f t="shared" ref="D108:K108" si="49">D96*103%</f>
        <v>33623911.214193352</v>
      </c>
      <c r="E108" s="745">
        <f t="shared" si="49"/>
        <v>13123818.870974381</v>
      </c>
      <c r="F108" s="745">
        <f t="shared" si="49"/>
        <v>2915073.9301754334</v>
      </c>
      <c r="G108" s="745">
        <f t="shared" si="49"/>
        <v>9655840.3115327153</v>
      </c>
      <c r="H108" s="745">
        <v>5152090</v>
      </c>
      <c r="I108" s="745">
        <f t="shared" si="49"/>
        <v>7521408.9163694633</v>
      </c>
      <c r="J108" s="745">
        <f t="shared" si="49"/>
        <v>4974198.678724247</v>
      </c>
      <c r="K108" s="745">
        <f t="shared" si="49"/>
        <v>1462619.8800151679</v>
      </c>
      <c r="L108" s="745">
        <f>SUM(C108:K108)</f>
        <v>94992177.060309634</v>
      </c>
      <c r="M108" s="748">
        <f t="shared" si="48"/>
        <v>94992177.060309634</v>
      </c>
    </row>
    <row r="109" spans="2:13" ht="10.8" thickBot="1" x14ac:dyDescent="0.25">
      <c r="B109" s="749" t="s">
        <v>383</v>
      </c>
      <c r="C109" s="742">
        <f t="shared" si="46"/>
        <v>66633900.17220749</v>
      </c>
      <c r="D109" s="742">
        <f t="shared" ref="D109:K109" si="50">D97*103%</f>
        <v>51907453.383637697</v>
      </c>
      <c r="E109" s="742">
        <f t="shared" si="50"/>
        <v>12410712.831981283</v>
      </c>
      <c r="F109" s="742">
        <f t="shared" si="50"/>
        <v>406303.94632610487</v>
      </c>
      <c r="G109" s="742">
        <f t="shared" si="50"/>
        <v>9377282.7981854286</v>
      </c>
      <c r="H109" s="742">
        <v>0</v>
      </c>
      <c r="I109" s="742">
        <f t="shared" si="50"/>
        <v>0</v>
      </c>
      <c r="J109" s="742">
        <f t="shared" si="50"/>
        <v>0</v>
      </c>
      <c r="K109" s="742">
        <f t="shared" si="50"/>
        <v>0</v>
      </c>
      <c r="L109" s="742">
        <f>SUM(C109:K109)</f>
        <v>140735653.13233802</v>
      </c>
      <c r="M109" s="747">
        <f t="shared" si="48"/>
        <v>140735653.13233802</v>
      </c>
    </row>
    <row r="110" spans="2:13" ht="10.8" thickBot="1" x14ac:dyDescent="0.25">
      <c r="B110" s="744" t="s">
        <v>638</v>
      </c>
      <c r="C110" s="745"/>
      <c r="D110" s="745"/>
      <c r="E110" s="745"/>
      <c r="F110" s="745"/>
      <c r="G110" s="745"/>
      <c r="H110" s="745"/>
      <c r="I110" s="745"/>
      <c r="J110" s="745"/>
      <c r="K110" s="745"/>
      <c r="L110" s="745"/>
      <c r="M110" s="460">
        <f>M98*103%</f>
        <v>3840500.6330759674</v>
      </c>
    </row>
    <row r="111" spans="2:13" ht="10.8" thickBot="1" x14ac:dyDescent="0.25">
      <c r="B111" s="728" t="s">
        <v>639</v>
      </c>
      <c r="C111" s="468"/>
      <c r="D111" s="468"/>
      <c r="E111" s="468"/>
      <c r="F111" s="468"/>
      <c r="G111" s="468"/>
      <c r="H111" s="468"/>
      <c r="I111" s="468"/>
      <c r="J111" s="468"/>
      <c r="K111" s="468"/>
      <c r="L111" s="741"/>
      <c r="M111" s="743">
        <f>M99*103%</f>
        <v>5760750.9496139511</v>
      </c>
    </row>
    <row r="112" spans="2:13" ht="10.8" thickBot="1" x14ac:dyDescent="0.25">
      <c r="B112" s="728" t="s">
        <v>195</v>
      </c>
      <c r="C112" s="468"/>
      <c r="D112" s="468"/>
      <c r="E112" s="468"/>
      <c r="F112" s="468"/>
      <c r="G112" s="468"/>
      <c r="H112" s="468"/>
      <c r="I112" s="468"/>
      <c r="J112" s="468"/>
      <c r="K112" s="468"/>
      <c r="L112" s="741"/>
      <c r="M112" s="743">
        <v>17262000</v>
      </c>
    </row>
    <row r="115" spans="2:13" ht="10.8" thickBot="1" x14ac:dyDescent="0.25"/>
    <row r="116" spans="2:13" ht="21" thickBot="1" x14ac:dyDescent="0.25">
      <c r="B116" s="750" t="s">
        <v>659</v>
      </c>
      <c r="C116" s="751" t="s">
        <v>243</v>
      </c>
      <c r="D116" s="751" t="s">
        <v>244</v>
      </c>
      <c r="E116" s="751" t="s">
        <v>267</v>
      </c>
      <c r="F116" s="751" t="s">
        <v>629</v>
      </c>
      <c r="G116" s="751" t="s">
        <v>247</v>
      </c>
      <c r="H116" s="751" t="s">
        <v>231</v>
      </c>
      <c r="I116" s="751" t="s">
        <v>230</v>
      </c>
      <c r="J116" s="752" t="s">
        <v>232</v>
      </c>
      <c r="K116" s="751" t="s">
        <v>631</v>
      </c>
      <c r="L116" s="752" t="s">
        <v>632</v>
      </c>
      <c r="M116" s="751" t="s">
        <v>637</v>
      </c>
    </row>
    <row r="117" spans="2:13" ht="14.4" thickBot="1" x14ac:dyDescent="0.35">
      <c r="B117" s="458" t="s">
        <v>379</v>
      </c>
      <c r="C117" s="459">
        <f>SUM(C118:C122)</f>
        <v>90086576.227745116</v>
      </c>
      <c r="D117" s="459">
        <f t="shared" ref="D117:L117" si="51">SUM(D118:D122)</f>
        <v>94697555.264883667</v>
      </c>
      <c r="E117" s="459">
        <f t="shared" si="51"/>
        <v>28810194.763992045</v>
      </c>
      <c r="F117" s="459">
        <f t="shared" si="51"/>
        <v>3718430.2432400337</v>
      </c>
      <c r="G117" s="459">
        <f t="shared" si="51"/>
        <v>22060522.262423217</v>
      </c>
      <c r="H117" s="459">
        <f t="shared" si="51"/>
        <v>5661248</v>
      </c>
      <c r="I117" s="459">
        <f t="shared" si="51"/>
        <v>8411486.0455559306</v>
      </c>
      <c r="J117" s="459">
        <f t="shared" si="51"/>
        <v>5451027.079529902</v>
      </c>
      <c r="K117" s="459">
        <f t="shared" si="51"/>
        <v>1760903.4788636151</v>
      </c>
      <c r="L117" s="459">
        <f t="shared" si="51"/>
        <v>260657943.36623359</v>
      </c>
      <c r="M117" s="754">
        <f>SUM(M118:M124)</f>
        <v>287809232.49640423</v>
      </c>
    </row>
    <row r="118" spans="2:13" ht="10.8" thickBot="1" x14ac:dyDescent="0.25">
      <c r="B118" s="458" t="s">
        <v>380</v>
      </c>
      <c r="C118" s="745">
        <f>C106*103%</f>
        <v>2367679.4452003408</v>
      </c>
      <c r="D118" s="745">
        <f t="shared" ref="D118:K118" si="52">D106*103%</f>
        <v>5814547.0198347606</v>
      </c>
      <c r="E118" s="745">
        <f t="shared" si="52"/>
        <v>2118325.6936546401</v>
      </c>
      <c r="F118" s="745">
        <f t="shared" si="52"/>
        <v>278377.23559657234</v>
      </c>
      <c r="G118" s="745">
        <f t="shared" si="52"/>
        <v>2122027.4557310459</v>
      </c>
      <c r="H118" s="745">
        <v>509158</v>
      </c>
      <c r="I118" s="745">
        <f t="shared" si="52"/>
        <v>548543.69970089686</v>
      </c>
      <c r="J118" s="745">
        <f t="shared" si="52"/>
        <v>327602.44044392701</v>
      </c>
      <c r="K118" s="745">
        <f t="shared" si="52"/>
        <v>203329.59183119453</v>
      </c>
      <c r="L118" s="745">
        <f>SUM(C118:K118)</f>
        <v>14289590.581993379</v>
      </c>
      <c r="M118" s="748">
        <f>SUM(L118)</f>
        <v>14289590.581993379</v>
      </c>
    </row>
    <row r="119" spans="2:13" ht="10.8" thickBot="1" x14ac:dyDescent="0.25">
      <c r="B119" s="458" t="s">
        <v>381</v>
      </c>
      <c r="C119" s="745">
        <f t="shared" ref="C119:C121" si="53">C107*103%</f>
        <v>2025867.8890964305</v>
      </c>
      <c r="D119" s="745">
        <f t="shared" ref="D119:K119" si="54">D107*103%</f>
        <v>785702.7092829328</v>
      </c>
      <c r="E119" s="745">
        <f t="shared" si="54"/>
        <v>391301.41629307141</v>
      </c>
      <c r="F119" s="745">
        <f t="shared" si="54"/>
        <v>19033.794846877187</v>
      </c>
      <c r="G119" s="745">
        <f t="shared" si="54"/>
        <v>334378.0036824852</v>
      </c>
      <c r="H119" s="745">
        <v>0</v>
      </c>
      <c r="I119" s="745">
        <f t="shared" si="54"/>
        <v>115891.16199448632</v>
      </c>
      <c r="J119" s="745">
        <f t="shared" si="54"/>
        <v>0</v>
      </c>
      <c r="K119" s="745">
        <f t="shared" si="54"/>
        <v>51075.410616797446</v>
      </c>
      <c r="L119" s="745">
        <f>SUM(C119:K119)</f>
        <v>3723250.3858130807</v>
      </c>
      <c r="M119" s="748">
        <f t="shared" ref="M119:M121" si="55">SUM(L119)</f>
        <v>3723250.3858130807</v>
      </c>
    </row>
    <row r="120" spans="2:13" ht="10.8" thickBot="1" x14ac:dyDescent="0.25">
      <c r="B120" s="744" t="s">
        <v>382</v>
      </c>
      <c r="C120" s="745">
        <f t="shared" si="53"/>
        <v>17060111.716074627</v>
      </c>
      <c r="D120" s="745">
        <f t="shared" ref="D120:K120" si="56">D108*103%</f>
        <v>34632628.550619155</v>
      </c>
      <c r="E120" s="745">
        <f t="shared" si="56"/>
        <v>13517533.437103612</v>
      </c>
      <c r="F120" s="745">
        <f t="shared" si="56"/>
        <v>3002526.1480806964</v>
      </c>
      <c r="G120" s="745">
        <f t="shared" si="56"/>
        <v>9945515.5208786968</v>
      </c>
      <c r="H120" s="745">
        <v>5152090</v>
      </c>
      <c r="I120" s="745">
        <f t="shared" si="56"/>
        <v>7747051.1838605478</v>
      </c>
      <c r="J120" s="745">
        <f t="shared" si="56"/>
        <v>5123424.6390859745</v>
      </c>
      <c r="K120" s="745">
        <f t="shared" si="56"/>
        <v>1506498.476415623</v>
      </c>
      <c r="L120" s="745">
        <f>SUM(C120:K120)</f>
        <v>97687379.672118947</v>
      </c>
      <c r="M120" s="748">
        <f t="shared" si="55"/>
        <v>97687379.672118947</v>
      </c>
    </row>
    <row r="121" spans="2:13" ht="10.8" thickBot="1" x14ac:dyDescent="0.25">
      <c r="B121" s="749" t="s">
        <v>383</v>
      </c>
      <c r="C121" s="742">
        <f t="shared" si="53"/>
        <v>68632917.177373722</v>
      </c>
      <c r="D121" s="742">
        <f t="shared" ref="D121:K121" si="57">D109*103%</f>
        <v>53464676.985146828</v>
      </c>
      <c r="E121" s="742">
        <f t="shared" si="57"/>
        <v>12783034.216940721</v>
      </c>
      <c r="F121" s="742">
        <f t="shared" si="57"/>
        <v>418493.064715888</v>
      </c>
      <c r="G121" s="742">
        <f t="shared" si="57"/>
        <v>9658601.282130992</v>
      </c>
      <c r="H121" s="742">
        <v>0</v>
      </c>
      <c r="I121" s="742">
        <f t="shared" si="57"/>
        <v>0</v>
      </c>
      <c r="J121" s="742">
        <f t="shared" si="57"/>
        <v>0</v>
      </c>
      <c r="K121" s="742">
        <f t="shared" si="57"/>
        <v>0</v>
      </c>
      <c r="L121" s="742">
        <f>SUM(C121:K121)</f>
        <v>144957722.72630817</v>
      </c>
      <c r="M121" s="747">
        <f t="shared" si="55"/>
        <v>144957722.72630817</v>
      </c>
    </row>
    <row r="122" spans="2:13" ht="10.8" thickBot="1" x14ac:dyDescent="0.25">
      <c r="B122" s="744" t="s">
        <v>638</v>
      </c>
      <c r="C122" s="745"/>
      <c r="D122" s="745"/>
      <c r="E122" s="745"/>
      <c r="F122" s="745"/>
      <c r="G122" s="745"/>
      <c r="H122" s="745"/>
      <c r="I122" s="745"/>
      <c r="J122" s="745"/>
      <c r="K122" s="745"/>
      <c r="L122" s="745"/>
      <c r="M122" s="460">
        <f>M110*103%</f>
        <v>3955715.6520682466</v>
      </c>
    </row>
    <row r="123" spans="2:13" ht="10.8" thickBot="1" x14ac:dyDescent="0.25">
      <c r="B123" s="728" t="s">
        <v>639</v>
      </c>
      <c r="C123" s="468"/>
      <c r="D123" s="468"/>
      <c r="E123" s="468"/>
      <c r="F123" s="468"/>
      <c r="G123" s="468"/>
      <c r="H123" s="468"/>
      <c r="I123" s="468"/>
      <c r="J123" s="468"/>
      <c r="K123" s="468"/>
      <c r="L123" s="741"/>
      <c r="M123" s="743">
        <f>M111*103%</f>
        <v>5933573.4781023702</v>
      </c>
    </row>
    <row r="124" spans="2:13" ht="10.8" thickBot="1" x14ac:dyDescent="0.25">
      <c r="B124" s="728" t="s">
        <v>195</v>
      </c>
      <c r="C124" s="468"/>
      <c r="D124" s="468"/>
      <c r="E124" s="468"/>
      <c r="F124" s="468"/>
      <c r="G124" s="468"/>
      <c r="H124" s="468"/>
      <c r="I124" s="468"/>
      <c r="J124" s="468"/>
      <c r="K124" s="468"/>
      <c r="L124" s="741"/>
      <c r="M124" s="743">
        <v>17262000</v>
      </c>
    </row>
    <row r="127" spans="2:13" ht="10.8" thickBot="1" x14ac:dyDescent="0.25"/>
    <row r="128" spans="2:13" ht="21" thickBot="1" x14ac:dyDescent="0.25">
      <c r="B128" s="750" t="s">
        <v>660</v>
      </c>
      <c r="C128" s="751" t="s">
        <v>243</v>
      </c>
      <c r="D128" s="751" t="s">
        <v>244</v>
      </c>
      <c r="E128" s="751" t="s">
        <v>267</v>
      </c>
      <c r="F128" s="751" t="s">
        <v>629</v>
      </c>
      <c r="G128" s="751" t="s">
        <v>247</v>
      </c>
      <c r="H128" s="751" t="s">
        <v>231</v>
      </c>
      <c r="I128" s="751" t="s">
        <v>230</v>
      </c>
      <c r="J128" s="752" t="s">
        <v>232</v>
      </c>
      <c r="K128" s="751" t="s">
        <v>631</v>
      </c>
      <c r="L128" s="752" t="s">
        <v>632</v>
      </c>
      <c r="M128" s="751" t="s">
        <v>637</v>
      </c>
    </row>
    <row r="129" spans="2:13" ht="14.4" thickBot="1" x14ac:dyDescent="0.35">
      <c r="B129" s="458" t="s">
        <v>379</v>
      </c>
      <c r="C129" s="459">
        <f>SUM(C130:C134)</f>
        <v>92789173.514577478</v>
      </c>
      <c r="D129" s="459">
        <f t="shared" ref="D129:L129" si="58">SUM(D130:D134)</f>
        <v>97538481.922830194</v>
      </c>
      <c r="E129" s="459">
        <f t="shared" si="58"/>
        <v>29674500.606911808</v>
      </c>
      <c r="F129" s="459">
        <f t="shared" si="58"/>
        <v>3829983.1505372347</v>
      </c>
      <c r="G129" s="459">
        <f t="shared" si="58"/>
        <v>22722337.930295914</v>
      </c>
      <c r="H129" s="459">
        <f t="shared" si="58"/>
        <v>5661248</v>
      </c>
      <c r="I129" s="459">
        <f t="shared" si="58"/>
        <v>8663830.6269226093</v>
      </c>
      <c r="J129" s="459">
        <f t="shared" si="58"/>
        <v>5614557.8919157991</v>
      </c>
      <c r="K129" s="459">
        <f t="shared" si="58"/>
        <v>1813730.5832295234</v>
      </c>
      <c r="L129" s="459">
        <f t="shared" si="58"/>
        <v>268307844.22722054</v>
      </c>
      <c r="M129" s="754">
        <f>SUM(M130:M136)</f>
        <v>295755812.03129631</v>
      </c>
    </row>
    <row r="130" spans="2:13" ht="10.8" thickBot="1" x14ac:dyDescent="0.25">
      <c r="B130" s="458" t="s">
        <v>380</v>
      </c>
      <c r="C130" s="745">
        <f>C118*103%</f>
        <v>2438709.8285563509</v>
      </c>
      <c r="D130" s="745">
        <f t="shared" ref="D130:K130" si="59">D118*103%</f>
        <v>5988983.4304298032</v>
      </c>
      <c r="E130" s="745">
        <f t="shared" si="59"/>
        <v>2181875.4644642794</v>
      </c>
      <c r="F130" s="745">
        <f t="shared" si="59"/>
        <v>286728.55266446952</v>
      </c>
      <c r="G130" s="745">
        <f t="shared" si="59"/>
        <v>2185688.2794029773</v>
      </c>
      <c r="H130" s="745">
        <v>509158</v>
      </c>
      <c r="I130" s="745">
        <f t="shared" si="59"/>
        <v>565000.01069192379</v>
      </c>
      <c r="J130" s="745">
        <f t="shared" si="59"/>
        <v>337430.51365724485</v>
      </c>
      <c r="K130" s="745">
        <f t="shared" si="59"/>
        <v>209429.47958613036</v>
      </c>
      <c r="L130" s="745">
        <f>SUM(C130:K130)</f>
        <v>14703003.55945318</v>
      </c>
      <c r="M130" s="748">
        <f>SUM(L130)</f>
        <v>14703003.55945318</v>
      </c>
    </row>
    <row r="131" spans="2:13" ht="10.8" thickBot="1" x14ac:dyDescent="0.25">
      <c r="B131" s="458" t="s">
        <v>381</v>
      </c>
      <c r="C131" s="745">
        <f t="shared" ref="C131:C133" si="60">C119*103%</f>
        <v>2086643.9257693235</v>
      </c>
      <c r="D131" s="745">
        <f t="shared" ref="D131:K131" si="61">D119*103%</f>
        <v>809273.79056142084</v>
      </c>
      <c r="E131" s="745">
        <f t="shared" si="61"/>
        <v>403040.45878186356</v>
      </c>
      <c r="F131" s="745">
        <f t="shared" si="61"/>
        <v>19604.808692283503</v>
      </c>
      <c r="G131" s="745">
        <f t="shared" si="61"/>
        <v>344409.34379295976</v>
      </c>
      <c r="H131" s="745">
        <v>0</v>
      </c>
      <c r="I131" s="745">
        <f t="shared" si="61"/>
        <v>119367.89685432092</v>
      </c>
      <c r="J131" s="745">
        <f t="shared" si="61"/>
        <v>0</v>
      </c>
      <c r="K131" s="745">
        <f t="shared" si="61"/>
        <v>52607.672935301372</v>
      </c>
      <c r="L131" s="745">
        <f>SUM(C131:K131)</f>
        <v>3834947.8973874734</v>
      </c>
      <c r="M131" s="748">
        <f t="shared" ref="M131:M133" si="62">SUM(L131)</f>
        <v>3834947.8973874734</v>
      </c>
    </row>
    <row r="132" spans="2:13" ht="10.8" thickBot="1" x14ac:dyDescent="0.25">
      <c r="B132" s="744" t="s">
        <v>382</v>
      </c>
      <c r="C132" s="745">
        <f t="shared" si="60"/>
        <v>17571915.067556866</v>
      </c>
      <c r="D132" s="745">
        <f t="shared" ref="D132:K132" si="63">D120*103%</f>
        <v>35671607.407137729</v>
      </c>
      <c r="E132" s="745">
        <f t="shared" si="63"/>
        <v>13923059.440216722</v>
      </c>
      <c r="F132" s="745">
        <f t="shared" si="63"/>
        <v>3092601.9325231174</v>
      </c>
      <c r="G132" s="745">
        <f t="shared" si="63"/>
        <v>10243880.986505058</v>
      </c>
      <c r="H132" s="745">
        <v>5152090</v>
      </c>
      <c r="I132" s="745">
        <f t="shared" si="63"/>
        <v>7979462.7193763647</v>
      </c>
      <c r="J132" s="745">
        <f t="shared" si="63"/>
        <v>5277127.3782585543</v>
      </c>
      <c r="K132" s="745">
        <f t="shared" si="63"/>
        <v>1551693.4307080917</v>
      </c>
      <c r="L132" s="745">
        <f>SUM(C132:K132)</f>
        <v>100463438.36228251</v>
      </c>
      <c r="M132" s="748">
        <f t="shared" si="62"/>
        <v>100463438.36228251</v>
      </c>
    </row>
    <row r="133" spans="2:13" ht="10.8" thickBot="1" x14ac:dyDescent="0.25">
      <c r="B133" s="749" t="s">
        <v>383</v>
      </c>
      <c r="C133" s="742">
        <f t="shared" si="60"/>
        <v>70691904.692694932</v>
      </c>
      <c r="D133" s="742">
        <f t="shared" ref="D133:K133" si="64">D121*103%</f>
        <v>55068617.294701234</v>
      </c>
      <c r="E133" s="742">
        <f t="shared" si="64"/>
        <v>13166525.243448943</v>
      </c>
      <c r="F133" s="742">
        <f t="shared" si="64"/>
        <v>431047.85665736464</v>
      </c>
      <c r="G133" s="742">
        <f t="shared" si="64"/>
        <v>9948359.3205949217</v>
      </c>
      <c r="H133" s="742">
        <v>0</v>
      </c>
      <c r="I133" s="742">
        <f t="shared" si="64"/>
        <v>0</v>
      </c>
      <c r="J133" s="742">
        <f t="shared" si="64"/>
        <v>0</v>
      </c>
      <c r="K133" s="742">
        <f t="shared" si="64"/>
        <v>0</v>
      </c>
      <c r="L133" s="742">
        <f>SUM(C133:K133)</f>
        <v>149306454.40809739</v>
      </c>
      <c r="M133" s="747">
        <f t="shared" si="62"/>
        <v>149306454.40809739</v>
      </c>
    </row>
    <row r="134" spans="2:13" ht="10.8" thickBot="1" x14ac:dyDescent="0.25">
      <c r="B134" s="744" t="s">
        <v>638</v>
      </c>
      <c r="C134" s="745"/>
      <c r="D134" s="745"/>
      <c r="E134" s="745"/>
      <c r="F134" s="745"/>
      <c r="G134" s="745"/>
      <c r="H134" s="745"/>
      <c r="I134" s="745"/>
      <c r="J134" s="745"/>
      <c r="K134" s="745"/>
      <c r="L134" s="745"/>
      <c r="M134" s="460">
        <f>M122*103%</f>
        <v>4074387.1216302942</v>
      </c>
    </row>
    <row r="135" spans="2:13" ht="10.8" thickBot="1" x14ac:dyDescent="0.25">
      <c r="B135" s="728" t="s">
        <v>639</v>
      </c>
      <c r="C135" s="468"/>
      <c r="D135" s="468"/>
      <c r="E135" s="468"/>
      <c r="F135" s="468"/>
      <c r="G135" s="468"/>
      <c r="H135" s="468"/>
      <c r="I135" s="468"/>
      <c r="J135" s="468"/>
      <c r="K135" s="468"/>
      <c r="L135" s="741"/>
      <c r="M135" s="743">
        <f>M123*103%</f>
        <v>6111580.6824454414</v>
      </c>
    </row>
    <row r="136" spans="2:13" ht="10.8" thickBot="1" x14ac:dyDescent="0.25">
      <c r="B136" s="728" t="s">
        <v>195</v>
      </c>
      <c r="C136" s="468"/>
      <c r="D136" s="468"/>
      <c r="E136" s="468"/>
      <c r="F136" s="468"/>
      <c r="G136" s="468"/>
      <c r="H136" s="468"/>
      <c r="I136" s="468"/>
      <c r="J136" s="468"/>
      <c r="K136" s="468"/>
      <c r="L136" s="741"/>
      <c r="M136" s="743">
        <v>17262000</v>
      </c>
    </row>
  </sheetData>
  <mergeCells count="1">
    <mergeCell ref="B1:M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0"/>
  <sheetViews>
    <sheetView showGridLines="0" topLeftCell="A6" workbookViewId="0">
      <selection activeCell="A15" sqref="A15:H30"/>
    </sheetView>
  </sheetViews>
  <sheetFormatPr defaultRowHeight="14.4" x14ac:dyDescent="0.3"/>
  <cols>
    <col min="1" max="1" width="20.88671875" customWidth="1"/>
    <col min="2" max="2" width="14.33203125" customWidth="1"/>
    <col min="3" max="8" width="13.5546875" customWidth="1"/>
    <col min="9" max="9" width="17.6640625" customWidth="1"/>
    <col min="10" max="11" width="13.5546875" customWidth="1"/>
  </cols>
  <sheetData>
    <row r="1" spans="1:11" ht="21.45" thickBot="1" x14ac:dyDescent="0.55000000000000004">
      <c r="A1" s="915" t="s">
        <v>253</v>
      </c>
      <c r="B1" s="915"/>
      <c r="C1" s="915"/>
      <c r="D1" s="915"/>
      <c r="E1" s="915"/>
      <c r="F1" s="915"/>
      <c r="G1" s="915"/>
      <c r="H1" s="915"/>
      <c r="I1" s="915"/>
      <c r="J1" s="915"/>
      <c r="K1" s="915"/>
    </row>
    <row r="2" spans="1:11" ht="31.2" customHeight="1" thickBot="1" x14ac:dyDescent="0.4">
      <c r="A2" s="230"/>
      <c r="B2" s="231" t="s">
        <v>254</v>
      </c>
      <c r="C2" s="232"/>
      <c r="D2" s="232"/>
      <c r="E2" s="232"/>
      <c r="F2" s="232"/>
      <c r="G2" s="232"/>
    </row>
    <row r="3" spans="1:11" ht="14.55" x14ac:dyDescent="0.35">
      <c r="A3" s="233" t="s">
        <v>255</v>
      </c>
      <c r="B3" s="234">
        <v>5661247.5744060008</v>
      </c>
      <c r="C3" s="232"/>
      <c r="D3" s="232"/>
      <c r="E3" s="232"/>
      <c r="F3" s="232"/>
      <c r="G3" s="232"/>
    </row>
    <row r="4" spans="1:11" ht="15" thickBot="1" x14ac:dyDescent="0.4">
      <c r="A4" s="235" t="s">
        <v>256</v>
      </c>
      <c r="B4" s="236">
        <v>128632628.77985844</v>
      </c>
      <c r="C4" s="232"/>
      <c r="D4" s="232"/>
      <c r="E4" s="232"/>
      <c r="F4" s="232"/>
      <c r="G4" s="232"/>
    </row>
    <row r="5" spans="1:11" ht="15" thickBot="1" x14ac:dyDescent="0.4">
      <c r="C5" s="232"/>
      <c r="D5" s="232"/>
      <c r="E5" s="232"/>
      <c r="F5" s="232"/>
      <c r="G5" s="232"/>
    </row>
    <row r="6" spans="1:11" ht="31.5" thickBot="1" x14ac:dyDescent="0.4">
      <c r="A6" s="237" t="s">
        <v>221</v>
      </c>
      <c r="B6" s="238" t="s">
        <v>257</v>
      </c>
      <c r="C6" s="238" t="s">
        <v>258</v>
      </c>
      <c r="D6" s="238" t="s">
        <v>259</v>
      </c>
      <c r="E6" s="238" t="s">
        <v>260</v>
      </c>
      <c r="F6" s="238" t="s">
        <v>261</v>
      </c>
      <c r="G6" s="238" t="s">
        <v>262</v>
      </c>
      <c r="H6" s="238" t="s">
        <v>263</v>
      </c>
      <c r="I6" s="238" t="s">
        <v>264</v>
      </c>
      <c r="J6" s="238" t="s">
        <v>265</v>
      </c>
      <c r="K6" s="239" t="s">
        <v>266</v>
      </c>
    </row>
    <row r="7" spans="1:11" ht="14.55" x14ac:dyDescent="0.35">
      <c r="A7" s="240" t="s">
        <v>246</v>
      </c>
      <c r="B7" s="241">
        <v>464081.67043618084</v>
      </c>
      <c r="C7" s="242">
        <f>B7/$B$12</f>
        <v>3.2108009337679256E-3</v>
      </c>
      <c r="D7" s="243">
        <v>3056925.2127</v>
      </c>
      <c r="E7" s="242">
        <f>D7/$D$12</f>
        <v>4.3140869107801223E-3</v>
      </c>
      <c r="F7" s="243">
        <v>614.94092213361023</v>
      </c>
      <c r="G7" s="242">
        <f>F7/$F$12</f>
        <v>4.1952987619468529E-3</v>
      </c>
      <c r="H7" s="244">
        <f>C7*$B$4</f>
        <v>413013.76459939242</v>
      </c>
      <c r="I7" s="245">
        <f>H7+B7</f>
        <v>877095.43503557332</v>
      </c>
      <c r="J7" s="246">
        <f>I7*(2/3)/D7</f>
        <v>0.19128053496188022</v>
      </c>
      <c r="K7" s="247">
        <f>I7*(1/3)/F7</f>
        <v>475.43615083781106</v>
      </c>
    </row>
    <row r="8" spans="1:11" ht="14.55" x14ac:dyDescent="0.35">
      <c r="A8" s="240" t="s">
        <v>244</v>
      </c>
      <c r="B8" s="248">
        <v>54801874.714652449</v>
      </c>
      <c r="C8" s="249">
        <f>B8/$B$12</f>
        <v>0.37915289854188755</v>
      </c>
      <c r="D8" s="250">
        <v>267114282.65505618</v>
      </c>
      <c r="E8" s="249">
        <f t="shared" ref="E8:E11" si="0">D8/$D$12</f>
        <v>0.37696513663374637</v>
      </c>
      <c r="F8" s="250">
        <v>61762.329895032351</v>
      </c>
      <c r="G8" s="249">
        <f t="shared" ref="G8:G11" si="1">F8/$F$12</f>
        <v>0.42135986859447344</v>
      </c>
      <c r="H8" s="251">
        <f t="shared" ref="H8:H11" si="2">C8*$B$4</f>
        <v>48771434.048945948</v>
      </c>
      <c r="I8" s="252">
        <f t="shared" ref="I8:I11" si="3">H8+B8</f>
        <v>103573308.7635984</v>
      </c>
      <c r="J8" s="253">
        <f t="shared" ref="J8:J11" si="4">I8*(2/3)/D8</f>
        <v>0.25849936522575756</v>
      </c>
      <c r="K8" s="254">
        <f t="shared" ref="K8:K11" si="5">I8*(1/3)/F8</f>
        <v>558.98856654547387</v>
      </c>
    </row>
    <row r="9" spans="1:11" ht="14.55" x14ac:dyDescent="0.35">
      <c r="A9" s="240" t="s">
        <v>267</v>
      </c>
      <c r="B9" s="248">
        <v>12433553.749933727</v>
      </c>
      <c r="C9" s="249">
        <f>B9/$B$12</f>
        <v>8.6022932025777599E-2</v>
      </c>
      <c r="D9" s="250">
        <v>109301292.86188348</v>
      </c>
      <c r="E9" s="249">
        <f t="shared" si="0"/>
        <v>0.15425149261349358</v>
      </c>
      <c r="F9" s="250">
        <v>12861.866392903605</v>
      </c>
      <c r="G9" s="249">
        <f t="shared" si="1"/>
        <v>8.7747245649640468E-2</v>
      </c>
      <c r="H9" s="251">
        <f t="shared" si="2"/>
        <v>11065355.881826846</v>
      </c>
      <c r="I9" s="252">
        <f t="shared" si="3"/>
        <v>23498909.631760575</v>
      </c>
      <c r="J9" s="253">
        <f t="shared" si="4"/>
        <v>0.14332803706451139</v>
      </c>
      <c r="K9" s="254">
        <f t="shared" si="5"/>
        <v>609.00724964576534</v>
      </c>
    </row>
    <row r="10" spans="1:11" ht="14.55" x14ac:dyDescent="0.35">
      <c r="A10" s="240" t="s">
        <v>243</v>
      </c>
      <c r="B10" s="248">
        <v>67666322.553539187</v>
      </c>
      <c r="C10" s="249">
        <f>B10/$B$12</f>
        <v>0.46815701950767447</v>
      </c>
      <c r="D10" s="250">
        <v>297137658.70803612</v>
      </c>
      <c r="E10" s="249">
        <f t="shared" si="0"/>
        <v>0.41933563791702433</v>
      </c>
      <c r="F10" s="250">
        <v>67835.436281862989</v>
      </c>
      <c r="G10" s="249">
        <f t="shared" si="1"/>
        <v>0.46279229696083002</v>
      </c>
      <c r="H10" s="251">
        <f t="shared" si="2"/>
        <v>60220268.101015635</v>
      </c>
      <c r="I10" s="252">
        <f t="shared" si="3"/>
        <v>127886590.65455481</v>
      </c>
      <c r="J10" s="253">
        <f t="shared" si="4"/>
        <v>0.28693006289993606</v>
      </c>
      <c r="K10" s="254">
        <f t="shared" si="5"/>
        <v>628.41585295318362</v>
      </c>
    </row>
    <row r="11" spans="1:11" ht="15" thickBot="1" x14ac:dyDescent="0.4">
      <c r="A11" s="240" t="s">
        <v>247</v>
      </c>
      <c r="B11" s="248">
        <v>9171832.5261964556</v>
      </c>
      <c r="C11" s="249">
        <f>B11/$B$12</f>
        <v>6.3456348990892419E-2</v>
      </c>
      <c r="D11" s="250">
        <v>31981316.793667119</v>
      </c>
      <c r="E11" s="249">
        <f t="shared" si="0"/>
        <v>4.5133645924955744E-2</v>
      </c>
      <c r="F11" s="250">
        <v>3504.0033930765208</v>
      </c>
      <c r="G11" s="249">
        <f t="shared" si="1"/>
        <v>2.3905290033109077E-2</v>
      </c>
      <c r="H11" s="251">
        <f t="shared" si="2"/>
        <v>8162556.9834706094</v>
      </c>
      <c r="I11" s="252">
        <f t="shared" si="3"/>
        <v>17334389.509667065</v>
      </c>
      <c r="J11" s="253">
        <f t="shared" si="4"/>
        <v>0.36134408560061931</v>
      </c>
      <c r="K11" s="254">
        <f t="shared" si="5"/>
        <v>1649.0080597446226</v>
      </c>
    </row>
    <row r="12" spans="1:11" ht="15" thickBot="1" x14ac:dyDescent="0.4">
      <c r="A12" s="230" t="s">
        <v>268</v>
      </c>
      <c r="B12" s="255">
        <f>SUM(B7:B11)</f>
        <v>144537665.21475801</v>
      </c>
      <c r="C12" s="256">
        <f>SUM(C7:C11)</f>
        <v>1</v>
      </c>
      <c r="D12" s="257">
        <f t="shared" ref="D12:G12" si="6">SUM(D7:D11)</f>
        <v>708591476.23134279</v>
      </c>
      <c r="E12" s="256">
        <f>SUM(E7:E11)</f>
        <v>1.0000000000000002</v>
      </c>
      <c r="F12" s="257">
        <f t="shared" si="6"/>
        <v>146578.5768850091</v>
      </c>
      <c r="G12" s="256">
        <f t="shared" si="6"/>
        <v>0.99999999999999978</v>
      </c>
      <c r="H12" s="258">
        <f>SUM(H7:H11)</f>
        <v>128632628.77985843</v>
      </c>
      <c r="I12" s="258">
        <f>SUM(I7:I11)</f>
        <v>273170293.99461639</v>
      </c>
      <c r="J12" s="259"/>
      <c r="K12" s="260"/>
    </row>
    <row r="13" spans="1:11" ht="15" thickBot="1" x14ac:dyDescent="0.4">
      <c r="A13" s="261"/>
      <c r="B13" s="262"/>
      <c r="C13" s="263"/>
      <c r="D13" s="264"/>
      <c r="E13" s="263"/>
      <c r="F13" s="264"/>
      <c r="G13" s="263"/>
    </row>
    <row r="14" spans="1:11" ht="31.5" thickBot="1" x14ac:dyDescent="0.4">
      <c r="A14" s="265" t="s">
        <v>269</v>
      </c>
      <c r="B14" s="266">
        <f>B3+B4+B12</f>
        <v>278831541.56902242</v>
      </c>
      <c r="I14" s="267" t="s">
        <v>270</v>
      </c>
      <c r="J14" s="268">
        <f>(J7*E7)+(J8*E8)+(J9*E9)+(J10*E10)+(J11*E11)</f>
        <v>0.25700779001508534</v>
      </c>
      <c r="K14" s="269">
        <f>(K7*G7)+(K8*G8)+(K9*G9)+(K10*G10)+(K11*G11)</f>
        <v>621.21468634742018</v>
      </c>
    </row>
    <row r="15" spans="1:11" s="261" customFormat="1" ht="14.55" x14ac:dyDescent="0.35">
      <c r="A15" s="270"/>
      <c r="B15" s="252"/>
      <c r="C15" s="299" t="s">
        <v>299</v>
      </c>
    </row>
    <row r="16" spans="1:11" s="261" customFormat="1" ht="15" thickBot="1" x14ac:dyDescent="0.4">
      <c r="B16" s="79"/>
      <c r="C16" s="300">
        <f>C19/B19</f>
        <v>1.0265151515151516</v>
      </c>
      <c r="D16" s="300">
        <f t="shared" ref="D16:H16" si="7">D19/C19</f>
        <v>1.0202952029520296</v>
      </c>
      <c r="E16" s="300">
        <f t="shared" si="7"/>
        <v>0.98010849909584086</v>
      </c>
      <c r="F16" s="300">
        <f t="shared" si="7"/>
        <v>1.0313653136531364</v>
      </c>
      <c r="G16" s="300">
        <f t="shared" si="7"/>
        <v>1.0250447227191413</v>
      </c>
      <c r="H16" s="300">
        <f t="shared" si="7"/>
        <v>1.0349040139616057</v>
      </c>
    </row>
    <row r="17" spans="1:11" x14ac:dyDescent="0.3">
      <c r="A17" s="862" t="s">
        <v>271</v>
      </c>
      <c r="B17" s="864" t="s">
        <v>272</v>
      </c>
      <c r="C17" s="864"/>
      <c r="D17" s="864"/>
      <c r="E17" s="864"/>
      <c r="F17" s="864"/>
      <c r="G17" s="864"/>
      <c r="H17" s="865"/>
    </row>
    <row r="18" spans="1:11" ht="15" thickBot="1" x14ac:dyDescent="0.35">
      <c r="A18" s="863"/>
      <c r="B18" s="271">
        <v>2018</v>
      </c>
      <c r="C18" s="271">
        <v>2019</v>
      </c>
      <c r="D18" s="271">
        <v>2020</v>
      </c>
      <c r="E18" s="271">
        <v>2021</v>
      </c>
      <c r="F18" s="271">
        <v>2022</v>
      </c>
      <c r="G18" s="271">
        <v>2023</v>
      </c>
      <c r="H18" s="272">
        <v>2024</v>
      </c>
    </row>
    <row r="19" spans="1:11" ht="14.55" x14ac:dyDescent="0.35">
      <c r="A19" s="273" t="s">
        <v>273</v>
      </c>
      <c r="B19" s="274">
        <v>528</v>
      </c>
      <c r="C19" s="274">
        <v>542</v>
      </c>
      <c r="D19" s="274">
        <v>553</v>
      </c>
      <c r="E19" s="274">
        <v>542</v>
      </c>
      <c r="F19" s="274">
        <v>559</v>
      </c>
      <c r="G19" s="274">
        <v>573</v>
      </c>
      <c r="H19" s="275">
        <v>593</v>
      </c>
      <c r="I19" s="276"/>
      <c r="J19" s="276"/>
      <c r="K19" s="276"/>
    </row>
    <row r="20" spans="1:11" ht="15" thickBot="1" x14ac:dyDescent="0.4">
      <c r="A20" s="277" t="s">
        <v>274</v>
      </c>
      <c r="B20" s="278">
        <v>99</v>
      </c>
      <c r="C20" s="278">
        <v>103</v>
      </c>
      <c r="D20" s="278">
        <v>107</v>
      </c>
      <c r="E20" s="278">
        <v>103</v>
      </c>
      <c r="F20" s="278">
        <v>109</v>
      </c>
      <c r="G20" s="278">
        <v>113</v>
      </c>
      <c r="H20" s="279">
        <v>119</v>
      </c>
      <c r="I20" s="276"/>
      <c r="J20" s="276"/>
      <c r="K20" s="276"/>
    </row>
    <row r="21" spans="1:11" ht="15" thickBot="1" x14ac:dyDescent="0.4">
      <c r="A21" s="261"/>
      <c r="B21" s="276"/>
      <c r="C21" s="276"/>
      <c r="D21" s="276"/>
      <c r="E21" s="276"/>
      <c r="F21" s="276"/>
      <c r="G21" s="276"/>
      <c r="H21" s="276"/>
      <c r="I21" s="276"/>
      <c r="J21" s="276"/>
      <c r="K21" s="276"/>
    </row>
    <row r="22" spans="1:11" x14ac:dyDescent="0.3">
      <c r="A22" s="862" t="s">
        <v>275</v>
      </c>
      <c r="B22" s="864" t="s">
        <v>272</v>
      </c>
      <c r="C22" s="864"/>
      <c r="D22" s="864"/>
      <c r="E22" s="864"/>
      <c r="F22" s="864"/>
      <c r="G22" s="864"/>
      <c r="H22" s="865"/>
    </row>
    <row r="23" spans="1:11" ht="15" thickBot="1" x14ac:dyDescent="0.35">
      <c r="A23" s="863"/>
      <c r="B23" s="271">
        <v>2018</v>
      </c>
      <c r="C23" s="271">
        <v>2019</v>
      </c>
      <c r="D23" s="271">
        <v>2020</v>
      </c>
      <c r="E23" s="271">
        <v>2021</v>
      </c>
      <c r="F23" s="271">
        <v>2022</v>
      </c>
      <c r="G23" s="271">
        <v>2023</v>
      </c>
      <c r="H23" s="272">
        <v>2024</v>
      </c>
    </row>
    <row r="24" spans="1:11" ht="14.55" x14ac:dyDescent="0.35">
      <c r="A24" s="273" t="s">
        <v>273</v>
      </c>
      <c r="B24" s="274">
        <v>421</v>
      </c>
      <c r="C24" s="274">
        <v>414</v>
      </c>
      <c r="D24" s="274">
        <v>393</v>
      </c>
      <c r="E24" s="274">
        <v>337</v>
      </c>
      <c r="F24" s="274">
        <v>304</v>
      </c>
      <c r="G24" s="274">
        <v>262</v>
      </c>
      <c r="H24" s="275">
        <v>247</v>
      </c>
      <c r="I24" s="276"/>
      <c r="J24" s="276"/>
      <c r="K24" s="276"/>
    </row>
    <row r="25" spans="1:11" ht="15" thickBot="1" x14ac:dyDescent="0.4">
      <c r="A25" s="277" t="s">
        <v>274</v>
      </c>
      <c r="B25" s="278">
        <v>106</v>
      </c>
      <c r="C25" s="278">
        <v>107</v>
      </c>
      <c r="D25" s="278">
        <v>104</v>
      </c>
      <c r="E25" s="278">
        <v>97</v>
      </c>
      <c r="F25" s="278">
        <v>92</v>
      </c>
      <c r="G25" s="278">
        <v>87</v>
      </c>
      <c r="H25" s="279">
        <v>84</v>
      </c>
      <c r="I25" s="276"/>
      <c r="J25" s="276"/>
      <c r="K25" s="276"/>
    </row>
    <row r="26" spans="1:11" ht="15" thickBot="1" x14ac:dyDescent="0.4">
      <c r="A26" s="261"/>
      <c r="B26" s="276"/>
      <c r="C26" s="276"/>
      <c r="D26" s="276"/>
      <c r="E26" s="276"/>
      <c r="F26" s="276"/>
      <c r="G26" s="276"/>
      <c r="H26" s="276"/>
      <c r="I26" s="276"/>
      <c r="J26" s="276"/>
      <c r="K26" s="276"/>
    </row>
    <row r="27" spans="1:11" x14ac:dyDescent="0.3">
      <c r="A27" s="862" t="s">
        <v>276</v>
      </c>
      <c r="B27" s="864" t="s">
        <v>272</v>
      </c>
      <c r="C27" s="864"/>
      <c r="D27" s="864"/>
      <c r="E27" s="864"/>
      <c r="F27" s="864"/>
      <c r="G27" s="864"/>
      <c r="H27" s="865"/>
    </row>
    <row r="28" spans="1:11" ht="15" thickBot="1" x14ac:dyDescent="0.35">
      <c r="A28" s="863"/>
      <c r="B28" s="271">
        <v>2018</v>
      </c>
      <c r="C28" s="271">
        <v>2019</v>
      </c>
      <c r="D28" s="271">
        <v>2020</v>
      </c>
      <c r="E28" s="271">
        <v>2021</v>
      </c>
      <c r="F28" s="271">
        <v>2022</v>
      </c>
      <c r="G28" s="271">
        <v>2023</v>
      </c>
      <c r="H28" s="272">
        <v>2024</v>
      </c>
    </row>
    <row r="29" spans="1:11" ht="14.55" x14ac:dyDescent="0.35">
      <c r="A29" s="273" t="s">
        <v>273</v>
      </c>
      <c r="B29" s="274">
        <v>949</v>
      </c>
      <c r="C29" s="274">
        <v>955</v>
      </c>
      <c r="D29" s="274">
        <v>946</v>
      </c>
      <c r="E29" s="274">
        <v>879</v>
      </c>
      <c r="F29" s="274">
        <v>863</v>
      </c>
      <c r="G29" s="274">
        <v>835</v>
      </c>
      <c r="H29" s="275">
        <v>840</v>
      </c>
      <c r="I29" s="276"/>
      <c r="J29" s="276"/>
      <c r="K29" s="276"/>
    </row>
    <row r="30" spans="1:11" ht="15" thickBot="1" x14ac:dyDescent="0.4">
      <c r="A30" s="277" t="s">
        <v>274</v>
      </c>
      <c r="B30" s="278">
        <v>206</v>
      </c>
      <c r="C30" s="278">
        <v>210</v>
      </c>
      <c r="D30" s="278">
        <v>211</v>
      </c>
      <c r="E30" s="278">
        <v>201</v>
      </c>
      <c r="F30" s="278">
        <v>201</v>
      </c>
      <c r="G30" s="278">
        <v>200</v>
      </c>
      <c r="H30" s="279">
        <v>203</v>
      </c>
    </row>
    <row r="31" spans="1:11" ht="15" thickBot="1" x14ac:dyDescent="0.4">
      <c r="A31" s="270"/>
      <c r="B31" s="274"/>
      <c r="C31" s="274"/>
      <c r="D31" s="274"/>
      <c r="E31" s="274"/>
      <c r="F31" s="274"/>
      <c r="G31" s="274"/>
      <c r="H31" s="274"/>
    </row>
    <row r="32" spans="1:11" x14ac:dyDescent="0.3">
      <c r="A32" s="862" t="s">
        <v>277</v>
      </c>
      <c r="B32" s="864" t="s">
        <v>272</v>
      </c>
      <c r="C32" s="864"/>
      <c r="D32" s="864"/>
      <c r="E32" s="864"/>
      <c r="F32" s="864"/>
      <c r="G32" s="864"/>
      <c r="H32" s="865"/>
    </row>
    <row r="33" spans="1:8" ht="15" thickBot="1" x14ac:dyDescent="0.35">
      <c r="A33" s="863"/>
      <c r="B33" s="271">
        <v>2018</v>
      </c>
      <c r="C33" s="271">
        <v>2019</v>
      </c>
      <c r="D33" s="271">
        <v>2020</v>
      </c>
      <c r="E33" s="271">
        <v>2021</v>
      </c>
      <c r="F33" s="271">
        <v>2022</v>
      </c>
      <c r="G33" s="271">
        <v>2023</v>
      </c>
      <c r="H33" s="272">
        <v>2024</v>
      </c>
    </row>
    <row r="34" spans="1:8" ht="14.55" x14ac:dyDescent="0.35">
      <c r="A34" s="240" t="s">
        <v>278</v>
      </c>
      <c r="B34" s="280">
        <f t="shared" ref="B34:H34" si="8">((B19*1000000*$J$14)/1000000)+((B20*1000*$K$14)/1000000)</f>
        <v>197.20036707635967</v>
      </c>
      <c r="C34" s="281">
        <f t="shared" si="8"/>
        <v>203.28333488196054</v>
      </c>
      <c r="D34" s="281">
        <f t="shared" si="8"/>
        <v>208.59527931751614</v>
      </c>
      <c r="E34" s="281">
        <f t="shared" si="8"/>
        <v>203.28333488196054</v>
      </c>
      <c r="F34" s="281">
        <f t="shared" si="8"/>
        <v>211.37975543030151</v>
      </c>
      <c r="G34" s="281">
        <f t="shared" si="8"/>
        <v>217.46272323590242</v>
      </c>
      <c r="H34" s="282">
        <f t="shared" si="8"/>
        <v>226.33016715428863</v>
      </c>
    </row>
    <row r="35" spans="1:8" ht="15" thickBot="1" x14ac:dyDescent="0.4">
      <c r="A35" s="240" t="s">
        <v>279</v>
      </c>
      <c r="B35" s="283">
        <f>5661247.574406/1000000</f>
        <v>5.6612475744059996</v>
      </c>
      <c r="C35" s="284">
        <v>5.6612475744059996</v>
      </c>
      <c r="D35" s="284">
        <v>5.6612475744059996</v>
      </c>
      <c r="E35" s="284">
        <v>5.6612475744059996</v>
      </c>
      <c r="F35" s="284">
        <v>5.6612475744059996</v>
      </c>
      <c r="G35" s="284">
        <v>5.6612475744059996</v>
      </c>
      <c r="H35" s="285">
        <v>5.6612475744059996</v>
      </c>
    </row>
    <row r="36" spans="1:8" ht="31.5" thickBot="1" x14ac:dyDescent="0.4">
      <c r="A36" s="267" t="s">
        <v>280</v>
      </c>
      <c r="B36" s="286">
        <f>SUM(B34:B35)</f>
        <v>202.86161465076566</v>
      </c>
      <c r="C36" s="287">
        <f t="shared" ref="C36:H36" si="9">SUM(C34:C35)</f>
        <v>208.94458245636653</v>
      </c>
      <c r="D36" s="287">
        <f t="shared" si="9"/>
        <v>214.25652689192214</v>
      </c>
      <c r="E36" s="287">
        <f t="shared" si="9"/>
        <v>208.94458245636653</v>
      </c>
      <c r="F36" s="287">
        <f t="shared" si="9"/>
        <v>217.04100300470751</v>
      </c>
      <c r="G36" s="287">
        <f t="shared" si="9"/>
        <v>223.12397081030841</v>
      </c>
      <c r="H36" s="288">
        <f t="shared" si="9"/>
        <v>231.99141472869462</v>
      </c>
    </row>
    <row r="37" spans="1:8" ht="31.5" thickBot="1" x14ac:dyDescent="0.4">
      <c r="A37" s="267" t="s">
        <v>281</v>
      </c>
      <c r="B37" s="286">
        <f>($B$14/1000000)-B36</f>
        <v>75.96992691825676</v>
      </c>
      <c r="C37" s="289">
        <f t="shared" ref="C37:H37" si="10">($B$14/1000000)-C36</f>
        <v>69.886959112655887</v>
      </c>
      <c r="D37" s="289">
        <f t="shared" si="10"/>
        <v>64.575014677100285</v>
      </c>
      <c r="E37" s="289">
        <f t="shared" si="10"/>
        <v>69.886959112655887</v>
      </c>
      <c r="F37" s="289">
        <f t="shared" si="10"/>
        <v>61.790538564314915</v>
      </c>
      <c r="G37" s="289">
        <f t="shared" si="10"/>
        <v>55.707570758714013</v>
      </c>
      <c r="H37" s="290">
        <f t="shared" si="10"/>
        <v>46.840126840327798</v>
      </c>
    </row>
    <row r="38" spans="1:8" ht="16.95" thickBot="1" x14ac:dyDescent="0.4">
      <c r="A38" s="267" t="s">
        <v>282</v>
      </c>
      <c r="B38" s="286">
        <f>B36+B37</f>
        <v>278.83154156902242</v>
      </c>
      <c r="C38" s="289">
        <f t="shared" ref="C38:H38" si="11">C36+C37</f>
        <v>278.83154156902242</v>
      </c>
      <c r="D38" s="289">
        <f t="shared" si="11"/>
        <v>278.83154156902242</v>
      </c>
      <c r="E38" s="289">
        <f t="shared" si="11"/>
        <v>278.83154156902242</v>
      </c>
      <c r="F38" s="289">
        <f t="shared" si="11"/>
        <v>278.83154156902242</v>
      </c>
      <c r="G38" s="289">
        <f t="shared" si="11"/>
        <v>278.83154156902242</v>
      </c>
      <c r="H38" s="290">
        <f t="shared" si="11"/>
        <v>278.83154156902242</v>
      </c>
    </row>
    <row r="39" spans="1:8" ht="15" thickBot="1" x14ac:dyDescent="0.4">
      <c r="A39" s="291"/>
      <c r="B39" s="292"/>
      <c r="C39" s="292"/>
      <c r="D39" s="292"/>
      <c r="E39" s="292"/>
      <c r="F39" s="292"/>
      <c r="G39" s="292"/>
      <c r="H39" s="292"/>
    </row>
    <row r="40" spans="1:8" ht="44.4" customHeight="1" thickBot="1" x14ac:dyDescent="0.35">
      <c r="A40" s="293" t="s">
        <v>283</v>
      </c>
      <c r="B40" s="294" t="s">
        <v>284</v>
      </c>
    </row>
    <row r="41" spans="1:8" x14ac:dyDescent="0.3">
      <c r="A41" s="273" t="s">
        <v>246</v>
      </c>
      <c r="B41" s="295">
        <f>(B37+B34)*$C$7</f>
        <v>0.87709543503557319</v>
      </c>
    </row>
    <row r="42" spans="1:8" x14ac:dyDescent="0.3">
      <c r="A42" s="240" t="s">
        <v>244</v>
      </c>
      <c r="B42" s="296">
        <f>(B34+B37)*$C$8</f>
        <v>103.57330876359839</v>
      </c>
    </row>
    <row r="43" spans="1:8" x14ac:dyDescent="0.3">
      <c r="A43" s="240" t="s">
        <v>267</v>
      </c>
      <c r="B43" s="296">
        <f>(B34+B37)*$C$9</f>
        <v>23.498909631760572</v>
      </c>
    </row>
    <row r="44" spans="1:8" x14ac:dyDescent="0.3">
      <c r="A44" s="240" t="s">
        <v>243</v>
      </c>
      <c r="B44" s="296">
        <f>(B34+B37)*$C$10</f>
        <v>127.88659065455481</v>
      </c>
    </row>
    <row r="45" spans="1:8" ht="15" thickBot="1" x14ac:dyDescent="0.35">
      <c r="A45" s="277" t="s">
        <v>247</v>
      </c>
      <c r="B45" s="297">
        <f>(B34+B37)*$C$11</f>
        <v>17.334389509667062</v>
      </c>
    </row>
    <row r="46" spans="1:8" ht="15" thickBot="1" x14ac:dyDescent="0.35">
      <c r="A46" s="230" t="s">
        <v>285</v>
      </c>
      <c r="B46" s="298">
        <f>SUM(B41:B45)</f>
        <v>273.17029399461637</v>
      </c>
    </row>
    <row r="47" spans="1:8" ht="15" thickBot="1" x14ac:dyDescent="0.35">
      <c r="A47" s="230" t="s">
        <v>286</v>
      </c>
      <c r="B47" s="298">
        <f>5661247.574406/1000000</f>
        <v>5.6612475744059996</v>
      </c>
    </row>
    <row r="48" spans="1:8" ht="15" thickBot="1" x14ac:dyDescent="0.35">
      <c r="A48" s="230" t="s">
        <v>287</v>
      </c>
      <c r="B48" s="298">
        <f>B46+B47</f>
        <v>278.83154156902236</v>
      </c>
    </row>
    <row r="49" spans="1:8" x14ac:dyDescent="0.3">
      <c r="A49" s="270"/>
      <c r="B49" s="292"/>
      <c r="C49" s="292"/>
      <c r="D49" s="292"/>
      <c r="E49" s="292"/>
      <c r="F49" s="292"/>
      <c r="G49" s="292"/>
      <c r="H49" s="292"/>
    </row>
    <row r="50" spans="1:8" x14ac:dyDescent="0.3">
      <c r="A50" s="261" t="s">
        <v>288</v>
      </c>
    </row>
    <row r="51" spans="1:8" x14ac:dyDescent="0.3">
      <c r="A51" t="s">
        <v>289</v>
      </c>
    </row>
    <row r="52" spans="1:8" x14ac:dyDescent="0.3">
      <c r="A52" t="s">
        <v>290</v>
      </c>
    </row>
    <row r="53" spans="1:8" x14ac:dyDescent="0.3">
      <c r="A53" t="s">
        <v>291</v>
      </c>
    </row>
    <row r="54" spans="1:8" x14ac:dyDescent="0.3">
      <c r="A54" t="s">
        <v>292</v>
      </c>
    </row>
    <row r="55" spans="1:8" x14ac:dyDescent="0.3">
      <c r="A55" t="s">
        <v>293</v>
      </c>
    </row>
    <row r="56" spans="1:8" x14ac:dyDescent="0.3">
      <c r="A56" t="s">
        <v>294</v>
      </c>
    </row>
    <row r="57" spans="1:8" x14ac:dyDescent="0.3">
      <c r="A57" t="s">
        <v>295</v>
      </c>
    </row>
    <row r="58" spans="1:8" x14ac:dyDescent="0.3">
      <c r="A58" t="s">
        <v>296</v>
      </c>
    </row>
    <row r="59" spans="1:8" x14ac:dyDescent="0.3">
      <c r="A59" t="s">
        <v>297</v>
      </c>
    </row>
    <row r="60" spans="1:8" x14ac:dyDescent="0.3">
      <c r="A60" t="s">
        <v>298</v>
      </c>
    </row>
  </sheetData>
  <mergeCells count="9">
    <mergeCell ref="A32:A33"/>
    <mergeCell ref="B32:H32"/>
    <mergeCell ref="A1:K1"/>
    <mergeCell ref="A17:A18"/>
    <mergeCell ref="B17:H17"/>
    <mergeCell ref="A22:A23"/>
    <mergeCell ref="B22:H22"/>
    <mergeCell ref="A27:A28"/>
    <mergeCell ref="B27:H27"/>
  </mergeCells>
  <pageMargins left="0.7" right="0.7" top="0.75" bottom="0.75" header="0.3" footer="0.3"/>
  <pageSetup scale="4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opLeftCell="A7" workbookViewId="0">
      <selection activeCell="C29" sqref="C29"/>
    </sheetView>
  </sheetViews>
  <sheetFormatPr defaultRowHeight="14.4" x14ac:dyDescent="0.3"/>
  <cols>
    <col min="1" max="1" width="11.44140625" bestFit="1" customWidth="1"/>
    <col min="2" max="3" width="12" customWidth="1"/>
    <col min="4" max="4" width="13.21875" bestFit="1" customWidth="1"/>
    <col min="5" max="5" width="13.109375" bestFit="1" customWidth="1"/>
    <col min="6" max="6" width="14.6640625" customWidth="1"/>
    <col min="7" max="8" width="17.109375" bestFit="1" customWidth="1"/>
    <col min="9" max="10" width="13.21875" bestFit="1" customWidth="1"/>
  </cols>
  <sheetData>
    <row r="1" spans="1:10" ht="58.05" x14ac:dyDescent="0.35">
      <c r="B1" s="322" t="s">
        <v>345</v>
      </c>
      <c r="C1" s="322" t="s">
        <v>344</v>
      </c>
      <c r="D1" s="322" t="s">
        <v>346</v>
      </c>
      <c r="E1" s="323" t="s">
        <v>324</v>
      </c>
      <c r="F1" s="323" t="s">
        <v>307</v>
      </c>
      <c r="G1" s="324" t="s">
        <v>338</v>
      </c>
      <c r="H1" s="324" t="s">
        <v>339</v>
      </c>
      <c r="I1" s="324" t="s">
        <v>340</v>
      </c>
      <c r="J1" s="323" t="s">
        <v>341</v>
      </c>
    </row>
    <row r="2" spans="1:10" ht="14.55" x14ac:dyDescent="0.35">
      <c r="A2" t="s">
        <v>342</v>
      </c>
      <c r="B2" s="79">
        <v>42223360.782797366</v>
      </c>
      <c r="C2" s="79">
        <v>28757847.915801022</v>
      </c>
      <c r="D2" s="79">
        <v>19223648.068338156</v>
      </c>
      <c r="E2" s="79">
        <v>286820817.98911536</v>
      </c>
      <c r="F2" s="328">
        <v>0.13690681800332824</v>
      </c>
      <c r="G2" s="79">
        <v>56453124.527049042</v>
      </c>
      <c r="H2" s="79">
        <v>73389061.885163754</v>
      </c>
      <c r="I2" s="328">
        <v>0.34052407602571766</v>
      </c>
      <c r="J2" s="328">
        <v>0.57533588382512346</v>
      </c>
    </row>
    <row r="3" spans="1:10" ht="14.55" x14ac:dyDescent="0.35">
      <c r="A3" t="s">
        <v>244</v>
      </c>
      <c r="B3" s="79">
        <v>88773502.512290955</v>
      </c>
      <c r="C3" s="79">
        <v>76285931.687809944</v>
      </c>
      <c r="D3" s="79">
        <v>64730517.748499282</v>
      </c>
      <c r="E3" s="79">
        <v>286820817.98911536</v>
      </c>
      <c r="F3" s="328">
        <v>0.28784297428356004</v>
      </c>
      <c r="G3" s="79">
        <v>84547758.130434468</v>
      </c>
      <c r="H3" s="79">
        <v>107300752.67884274</v>
      </c>
      <c r="I3" s="328">
        <v>0.76560891950130117</v>
      </c>
      <c r="J3" s="328">
        <v>0.82733345569341066</v>
      </c>
    </row>
    <row r="4" spans="1:10" ht="14.55" x14ac:dyDescent="0.35">
      <c r="A4" t="s">
        <v>343</v>
      </c>
      <c r="B4" s="79">
        <v>2379367.0044874144</v>
      </c>
      <c r="C4" s="79">
        <v>2300039.3555935565</v>
      </c>
      <c r="D4" s="79">
        <v>2265736.9231676729</v>
      </c>
      <c r="E4" s="79">
        <v>286820817.98911536</v>
      </c>
      <c r="F4" s="328">
        <v>7.7149606143905149E-3</v>
      </c>
      <c r="G4" s="79">
        <v>3384912.7114241603</v>
      </c>
      <c r="H4" s="79">
        <v>3384912.7114241603</v>
      </c>
      <c r="I4" s="328">
        <v>0.66936347147764175</v>
      </c>
      <c r="J4" s="328">
        <v>0.7029330465323359</v>
      </c>
    </row>
    <row r="5" spans="1:10" ht="14.55" x14ac:dyDescent="0.35">
      <c r="A5" t="s">
        <v>267</v>
      </c>
      <c r="B5" s="79">
        <v>22017753.492625229</v>
      </c>
      <c r="C5" s="79">
        <v>21736169.761488836</v>
      </c>
      <c r="D5" s="79">
        <v>21625232.31892452</v>
      </c>
      <c r="E5" s="79">
        <v>286820817.98911536</v>
      </c>
      <c r="F5" s="328">
        <v>7.139129890117854E-2</v>
      </c>
      <c r="G5" s="79">
        <v>25695302.496300716</v>
      </c>
      <c r="H5" s="79">
        <v>25695302.496300716</v>
      </c>
      <c r="I5" s="328">
        <v>0.84160255836792919</v>
      </c>
      <c r="J5" s="328">
        <v>0.85687854796786556</v>
      </c>
    </row>
    <row r="6" spans="1:10" ht="14.55" x14ac:dyDescent="0.35">
      <c r="A6" t="s">
        <v>247</v>
      </c>
      <c r="B6" s="79">
        <v>2496300.9529516017</v>
      </c>
      <c r="C6" s="79">
        <v>2496300.9529516017</v>
      </c>
      <c r="D6" s="79">
        <v>2496300.9529516017</v>
      </c>
      <c r="E6" s="79">
        <v>286820817.98911536</v>
      </c>
      <c r="F6" s="328">
        <v>8.0941122144526177E-3</v>
      </c>
      <c r="G6" s="79">
        <v>21053277.62907644</v>
      </c>
      <c r="H6" s="79">
        <v>21053277.62907644</v>
      </c>
      <c r="I6" s="328">
        <v>0.11857065664226976</v>
      </c>
      <c r="J6" s="328">
        <v>0.11857065664226976</v>
      </c>
    </row>
    <row r="10" spans="1:10" ht="14.55" x14ac:dyDescent="0.35">
      <c r="B10" s="305"/>
      <c r="C10" s="305"/>
      <c r="E10" s="262" t="s">
        <v>238</v>
      </c>
      <c r="F10" s="262"/>
    </row>
    <row r="11" spans="1:10" ht="14.55" x14ac:dyDescent="0.35">
      <c r="B11" s="305"/>
      <c r="C11" s="305"/>
      <c r="E11">
        <v>2019</v>
      </c>
      <c r="F11">
        <v>2020</v>
      </c>
      <c r="G11">
        <v>2021</v>
      </c>
      <c r="H11">
        <v>2022</v>
      </c>
      <c r="I11">
        <v>2023</v>
      </c>
      <c r="J11">
        <v>2024</v>
      </c>
    </row>
    <row r="12" spans="1:10" ht="14.55" x14ac:dyDescent="0.35">
      <c r="B12" s="305"/>
      <c r="C12" s="305"/>
      <c r="E12" s="229">
        <v>1.0265151515151516</v>
      </c>
      <c r="F12" s="229">
        <v>1.0202952029520296</v>
      </c>
      <c r="G12" s="229">
        <v>0.98010849909584086</v>
      </c>
      <c r="H12" s="229">
        <v>1.0313653136531364</v>
      </c>
      <c r="I12" s="229">
        <v>1.0250447227191413</v>
      </c>
      <c r="J12" s="229">
        <v>1.0349040139616057</v>
      </c>
    </row>
    <row r="13" spans="1:10" ht="14.55" x14ac:dyDescent="0.35">
      <c r="B13" s="305"/>
      <c r="C13" s="305"/>
      <c r="E13" s="262"/>
      <c r="F13" s="262"/>
      <c r="G13" s="229"/>
      <c r="H13" s="229"/>
      <c r="I13" s="229"/>
      <c r="J13" s="229"/>
    </row>
    <row r="14" spans="1:10" ht="14.55" x14ac:dyDescent="0.35">
      <c r="B14" s="310" t="s">
        <v>221</v>
      </c>
      <c r="C14" s="310"/>
      <c r="D14" s="303">
        <v>2018</v>
      </c>
      <c r="E14" s="306">
        <v>2019</v>
      </c>
      <c r="F14" s="306">
        <v>2020</v>
      </c>
      <c r="G14" s="303">
        <v>2021</v>
      </c>
      <c r="H14" s="303">
        <v>2022</v>
      </c>
      <c r="I14" s="303">
        <v>2023</v>
      </c>
      <c r="J14" s="303">
        <v>2024</v>
      </c>
    </row>
    <row r="15" spans="1:10" ht="14.55" x14ac:dyDescent="0.35">
      <c r="B15" s="303" t="s">
        <v>243</v>
      </c>
      <c r="C15" s="303"/>
      <c r="D15" s="304">
        <f>'Sector Budgets 3P 2017-2024'!D6</f>
        <v>58024975.330845006</v>
      </c>
      <c r="E15" s="304">
        <f t="shared" ref="E15:J20" si="0">D15*E$12</f>
        <v>59563516.343405291</v>
      </c>
      <c r="F15" s="304">
        <f t="shared" si="0"/>
        <v>60772369.996131234</v>
      </c>
      <c r="G15" s="304">
        <f t="shared" si="0"/>
        <v>59563516.343405299</v>
      </c>
      <c r="H15" s="304">
        <f t="shared" si="0"/>
        <v>61431744.715799928</v>
      </c>
      <c r="I15" s="304">
        <f t="shared" si="0"/>
        <v>62970285.728360206</v>
      </c>
      <c r="J15" s="304">
        <f t="shared" si="0"/>
        <v>65168201.460589193</v>
      </c>
    </row>
    <row r="16" spans="1:10" ht="14.55" x14ac:dyDescent="0.35">
      <c r="B16" s="310" t="s">
        <v>244</v>
      </c>
      <c r="C16" s="310"/>
      <c r="D16" s="304">
        <f>'Sector Budgets 3P 2017-2024'!D7</f>
        <v>84684757.53431651</v>
      </c>
      <c r="E16" s="307">
        <f t="shared" si="0"/>
        <v>86930186.711362794</v>
      </c>
      <c r="F16" s="307">
        <f t="shared" si="0"/>
        <v>88694452.493327722</v>
      </c>
      <c r="G16" s="304">
        <f t="shared" si="0"/>
        <v>86930186.711362794</v>
      </c>
      <c r="H16" s="304">
        <f t="shared" si="0"/>
        <v>89656779.283490404</v>
      </c>
      <c r="I16" s="304">
        <f t="shared" si="0"/>
        <v>91902208.460536674</v>
      </c>
      <c r="J16" s="304">
        <f t="shared" si="0"/>
        <v>95109964.42774564</v>
      </c>
    </row>
    <row r="17" spans="2:10" ht="14.55" x14ac:dyDescent="0.35">
      <c r="B17" s="311" t="s">
        <v>245</v>
      </c>
      <c r="C17" s="311"/>
      <c r="D17" s="301">
        <f>'Sector Budgets 3P 2017-2024'!D8</f>
        <v>25695302.496300716</v>
      </c>
      <c r="E17" s="308">
        <f t="shared" si="0"/>
        <v>26376617.335217781</v>
      </c>
      <c r="F17" s="308">
        <f t="shared" si="0"/>
        <v>26911936.137224048</v>
      </c>
      <c r="G17" s="301">
        <f t="shared" si="0"/>
        <v>26376617.335217781</v>
      </c>
      <c r="H17" s="301">
        <f t="shared" si="0"/>
        <v>27203928.211045641</v>
      </c>
      <c r="I17" s="301">
        <f t="shared" si="0"/>
        <v>27885243.049962703</v>
      </c>
      <c r="J17" s="301">
        <f t="shared" si="0"/>
        <v>28858549.962701369</v>
      </c>
    </row>
    <row r="18" spans="2:10" ht="14.55" x14ac:dyDescent="0.35">
      <c r="B18" s="311" t="s">
        <v>246</v>
      </c>
      <c r="C18" s="311"/>
      <c r="D18" s="301">
        <f>'Sector Budgets 3P 2017-2024'!D9</f>
        <v>3384912.7114241603</v>
      </c>
      <c r="E18" s="308">
        <f t="shared" si="0"/>
        <v>3474664.1848331345</v>
      </c>
      <c r="F18" s="308">
        <f t="shared" si="0"/>
        <v>3545183.1996544716</v>
      </c>
      <c r="G18" s="301">
        <f t="shared" si="0"/>
        <v>3474664.184833135</v>
      </c>
      <c r="H18" s="301">
        <f t="shared" si="0"/>
        <v>3583648.1168297459</v>
      </c>
      <c r="I18" s="301">
        <f t="shared" si="0"/>
        <v>3673399.5902387197</v>
      </c>
      <c r="J18" s="301">
        <f t="shared" si="0"/>
        <v>3801615.9808229688</v>
      </c>
    </row>
    <row r="19" spans="2:10" ht="14.55" x14ac:dyDescent="0.35">
      <c r="B19" s="311" t="s">
        <v>247</v>
      </c>
      <c r="C19" s="311"/>
      <c r="D19" s="301">
        <f>'Sector Budgets 3P 2017-2024'!D10</f>
        <v>21053277.62907644</v>
      </c>
      <c r="E19" s="308">
        <f t="shared" si="0"/>
        <v>21611508.475301955</v>
      </c>
      <c r="F19" s="308">
        <f t="shared" si="0"/>
        <v>22050118.425907716</v>
      </c>
      <c r="G19" s="301">
        <f t="shared" si="0"/>
        <v>21611508.475301955</v>
      </c>
      <c r="H19" s="301">
        <f t="shared" si="0"/>
        <v>22289360.217147216</v>
      </c>
      <c r="I19" s="301">
        <f t="shared" si="0"/>
        <v>22847591.063372727</v>
      </c>
      <c r="J19" s="301">
        <f t="shared" si="0"/>
        <v>23645063.700837746</v>
      </c>
    </row>
    <row r="20" spans="2:10" ht="14.55" x14ac:dyDescent="0.35">
      <c r="B20" s="311" t="s">
        <v>230</v>
      </c>
      <c r="C20" s="311"/>
      <c r="D20" s="301">
        <f>'Sector Budgets 3P 2017-2024'!D11</f>
        <v>7476486.267967687</v>
      </c>
      <c r="E20" s="308">
        <f t="shared" si="0"/>
        <v>7674726.4341638004</v>
      </c>
      <c r="F20" s="308">
        <f t="shared" si="0"/>
        <v>7830486.5647464609</v>
      </c>
      <c r="G20" s="301">
        <f t="shared" si="0"/>
        <v>7674726.4341638004</v>
      </c>
      <c r="H20" s="301">
        <f t="shared" si="0"/>
        <v>7915446.635973365</v>
      </c>
      <c r="I20" s="301">
        <f t="shared" si="0"/>
        <v>8113686.8021694776</v>
      </c>
      <c r="J20" s="301">
        <f t="shared" si="0"/>
        <v>8396887.0395924971</v>
      </c>
    </row>
    <row r="21" spans="2:10" ht="14.55" x14ac:dyDescent="0.35">
      <c r="B21" s="311" t="s">
        <v>231</v>
      </c>
      <c r="C21" s="311"/>
      <c r="D21" s="301">
        <f>'Sector Budgets 3P 2017-2024'!D12</f>
        <v>5661247.5744060008</v>
      </c>
      <c r="E21" s="308">
        <f t="shared" ref="E21:J23" si="1">D21</f>
        <v>5661247.5744060008</v>
      </c>
      <c r="F21" s="308">
        <f t="shared" si="1"/>
        <v>5661247.5744060008</v>
      </c>
      <c r="G21" s="301">
        <f t="shared" si="1"/>
        <v>5661247.5744060008</v>
      </c>
      <c r="H21" s="301">
        <f t="shared" si="1"/>
        <v>5661247.5744060008</v>
      </c>
      <c r="I21" s="301">
        <f t="shared" si="1"/>
        <v>5661247.5744060008</v>
      </c>
      <c r="J21" s="301">
        <f t="shared" si="1"/>
        <v>5661247.5744060008</v>
      </c>
    </row>
    <row r="22" spans="2:10" ht="14.55" x14ac:dyDescent="0.35">
      <c r="B22" s="311" t="s">
        <v>232</v>
      </c>
      <c r="C22" s="311"/>
      <c r="D22" s="301">
        <f>'Sector Budgets 3P 2017-2024'!D13</f>
        <v>4845106.248958258</v>
      </c>
      <c r="E22" s="308">
        <f t="shared" si="1"/>
        <v>4845106.248958258</v>
      </c>
      <c r="F22" s="308">
        <f t="shared" si="1"/>
        <v>4845106.248958258</v>
      </c>
      <c r="G22" s="301">
        <f t="shared" si="1"/>
        <v>4845106.248958258</v>
      </c>
      <c r="H22" s="301">
        <f t="shared" si="1"/>
        <v>4845106.248958258</v>
      </c>
      <c r="I22" s="301">
        <f t="shared" si="1"/>
        <v>4845106.248958258</v>
      </c>
      <c r="J22" s="301">
        <f t="shared" si="1"/>
        <v>4845106.248958258</v>
      </c>
    </row>
    <row r="23" spans="2:10" ht="14.55" x14ac:dyDescent="0.35">
      <c r="B23" s="311" t="s">
        <v>234</v>
      </c>
      <c r="C23" s="311"/>
      <c r="D23" s="301">
        <f>'Sector Budgets 3P 2017-2024'!D14</f>
        <v>28467261</v>
      </c>
      <c r="E23" s="308">
        <f t="shared" si="1"/>
        <v>28467261</v>
      </c>
      <c r="F23" s="308">
        <f t="shared" si="1"/>
        <v>28467261</v>
      </c>
      <c r="G23" s="301">
        <f t="shared" si="1"/>
        <v>28467261</v>
      </c>
      <c r="H23" s="301">
        <f t="shared" si="1"/>
        <v>28467261</v>
      </c>
      <c r="I23" s="301">
        <f t="shared" si="1"/>
        <v>28467261</v>
      </c>
      <c r="J23" s="301">
        <f t="shared" si="1"/>
        <v>28467261</v>
      </c>
    </row>
    <row r="24" spans="2:10" ht="14.55" x14ac:dyDescent="0.35">
      <c r="B24" s="311" t="s">
        <v>237</v>
      </c>
      <c r="C24" s="311"/>
      <c r="D24" s="302">
        <f t="shared" ref="D24:J24" si="2">SUM(D15:D23)</f>
        <v>239293326.79329482</v>
      </c>
      <c r="E24" s="309">
        <f t="shared" si="2"/>
        <v>244604834.30764902</v>
      </c>
      <c r="F24" s="309">
        <f t="shared" si="2"/>
        <v>248778161.64035591</v>
      </c>
      <c r="G24" s="302">
        <f t="shared" si="2"/>
        <v>244604834.30764902</v>
      </c>
      <c r="H24" s="302">
        <f t="shared" si="2"/>
        <v>251054522.00365058</v>
      </c>
      <c r="I24" s="302">
        <f t="shared" si="2"/>
        <v>256366029.51800478</v>
      </c>
      <c r="J24" s="302">
        <f t="shared" si="2"/>
        <v>263953897.39565372</v>
      </c>
    </row>
    <row r="25" spans="2:10" ht="14.55" x14ac:dyDescent="0.35">
      <c r="B25" s="311" t="s">
        <v>248</v>
      </c>
      <c r="C25" s="311"/>
      <c r="D25" s="302">
        <f>'2018 Subprogram Est.'!$O$128</f>
        <v>278831541.16902226</v>
      </c>
      <c r="E25" s="309">
        <f>'2018 Subprogram Est.'!$O$128</f>
        <v>278831541.16902226</v>
      </c>
      <c r="F25" s="309">
        <f>'2018 Subprogram Est.'!$O$128</f>
        <v>278831541.16902226</v>
      </c>
      <c r="G25" s="302">
        <f>'2018 Subprogram Est.'!$O$128</f>
        <v>278831541.16902226</v>
      </c>
      <c r="H25" s="302">
        <f>'2018 Subprogram Est.'!$O$128</f>
        <v>278831541.16902226</v>
      </c>
      <c r="I25" s="302">
        <f>'2018 Subprogram Est.'!$O$128</f>
        <v>278831541.16902226</v>
      </c>
      <c r="J25" s="302">
        <f>'2018 Subprogram Est.'!$O$128</f>
        <v>278831541.16902226</v>
      </c>
    </row>
    <row r="26" spans="2:10" ht="14.55" x14ac:dyDescent="0.35">
      <c r="B26" s="311" t="s">
        <v>251</v>
      </c>
      <c r="C26" s="311"/>
      <c r="D26" s="302">
        <f t="shared" ref="D26:J26" si="3">D24-D25</f>
        <v>-39538214.375727445</v>
      </c>
      <c r="E26" s="309">
        <f t="shared" si="3"/>
        <v>-34226706.861373246</v>
      </c>
      <c r="F26" s="309">
        <f t="shared" si="3"/>
        <v>-30053379.528666347</v>
      </c>
      <c r="G26" s="302">
        <f t="shared" si="3"/>
        <v>-34226706.861373246</v>
      </c>
      <c r="H26" s="302">
        <f t="shared" si="3"/>
        <v>-27777019.165371686</v>
      </c>
      <c r="I26" s="302">
        <f t="shared" si="3"/>
        <v>-22465511.651017487</v>
      </c>
      <c r="J26" s="302">
        <f t="shared" si="3"/>
        <v>-14877643.773368537</v>
      </c>
    </row>
    <row r="27" spans="2:10" ht="14.55" x14ac:dyDescent="0.35">
      <c r="B27" s="312"/>
      <c r="C27" s="312"/>
      <c r="D27" s="79"/>
      <c r="E27" s="262"/>
      <c r="F27" s="262"/>
      <c r="G27" s="79"/>
      <c r="H27" s="79"/>
      <c r="I27" s="79"/>
      <c r="J27" s="79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18"/>
  <sheetViews>
    <sheetView workbookViewId="0">
      <selection activeCell="AA16" sqref="AA16"/>
    </sheetView>
  </sheetViews>
  <sheetFormatPr defaultRowHeight="14.4" x14ac:dyDescent="0.3"/>
  <cols>
    <col min="2" max="2" width="41.88671875" bestFit="1" customWidth="1"/>
    <col min="3" max="3" width="11.77734375" bestFit="1" customWidth="1"/>
    <col min="4" max="5" width="12.44140625" bestFit="1" customWidth="1"/>
    <col min="6" max="6" width="15.77734375" bestFit="1" customWidth="1"/>
    <col min="7" max="7" width="10.77734375" bestFit="1" customWidth="1"/>
    <col min="8" max="8" width="4.77734375" bestFit="1" customWidth="1"/>
    <col min="9" max="9" width="4.77734375" style="389" customWidth="1"/>
    <col min="11" max="11" width="8.77734375" style="389"/>
    <col min="13" max="13" width="8.77734375" style="389"/>
    <col min="15" max="15" width="8.77734375" style="389"/>
    <col min="17" max="17" width="8.77734375" style="389"/>
    <col min="19" max="19" width="8.77734375" style="389"/>
    <col min="21" max="21" width="8.77734375" style="389"/>
    <col min="23" max="23" width="8.77734375" style="389"/>
  </cols>
  <sheetData>
    <row r="2" spans="2:24" x14ac:dyDescent="0.35">
      <c r="N2" t="s">
        <v>238</v>
      </c>
    </row>
    <row r="3" spans="2:24" x14ac:dyDescent="0.35">
      <c r="H3">
        <v>2016</v>
      </c>
      <c r="J3">
        <v>2017</v>
      </c>
      <c r="L3">
        <v>2018</v>
      </c>
      <c r="N3">
        <v>2019</v>
      </c>
      <c r="P3">
        <v>2020</v>
      </c>
      <c r="R3">
        <v>2021</v>
      </c>
      <c r="T3">
        <v>2022</v>
      </c>
      <c r="V3">
        <v>2023</v>
      </c>
      <c r="X3">
        <v>2024</v>
      </c>
    </row>
    <row r="4" spans="2:24" x14ac:dyDescent="0.35">
      <c r="J4">
        <v>1</v>
      </c>
      <c r="N4">
        <v>1.0265151515151516</v>
      </c>
      <c r="P4">
        <v>1.0202952029520296</v>
      </c>
      <c r="R4">
        <v>0.98010849909584086</v>
      </c>
      <c r="T4">
        <v>1.0313653136531364</v>
      </c>
      <c r="V4">
        <v>1.0250447227191413</v>
      </c>
      <c r="X4">
        <v>1.0349040139616057</v>
      </c>
    </row>
    <row r="6" spans="2:24" x14ac:dyDescent="0.35">
      <c r="B6" t="s">
        <v>221</v>
      </c>
      <c r="C6">
        <v>2017</v>
      </c>
      <c r="D6">
        <v>2018</v>
      </c>
      <c r="E6" t="s">
        <v>233</v>
      </c>
      <c r="F6" t="s">
        <v>349</v>
      </c>
      <c r="G6" t="s">
        <v>221</v>
      </c>
      <c r="H6">
        <v>2016</v>
      </c>
      <c r="J6">
        <v>2017</v>
      </c>
      <c r="L6">
        <v>2018</v>
      </c>
      <c r="N6">
        <v>2019</v>
      </c>
      <c r="P6">
        <v>2020</v>
      </c>
      <c r="R6">
        <v>2021</v>
      </c>
      <c r="T6">
        <v>2022</v>
      </c>
      <c r="V6">
        <v>2023</v>
      </c>
      <c r="X6">
        <v>2024</v>
      </c>
    </row>
    <row r="7" spans="2:24" x14ac:dyDescent="0.35">
      <c r="B7" t="s">
        <v>243</v>
      </c>
      <c r="C7">
        <v>93444249.690491945</v>
      </c>
      <c r="D7">
        <v>49252541.644411378</v>
      </c>
      <c r="E7">
        <v>0.21365760378856274</v>
      </c>
      <c r="F7">
        <v>0.52707942765388671</v>
      </c>
      <c r="G7" t="s">
        <v>243</v>
      </c>
      <c r="J7">
        <v>93444249.690491945</v>
      </c>
      <c r="L7">
        <v>56453124.937494747</v>
      </c>
      <c r="N7">
        <v>57949988.098716207</v>
      </c>
      <c r="P7">
        <v>59126094.868247353</v>
      </c>
      <c r="R7">
        <v>57949988.098716214</v>
      </c>
      <c r="T7">
        <v>59767607.651627973</v>
      </c>
      <c r="V7">
        <v>61264470.812849425</v>
      </c>
      <c r="X7">
        <v>63402846.757451504</v>
      </c>
    </row>
    <row r="8" spans="2:24" x14ac:dyDescent="0.35">
      <c r="B8" t="s">
        <v>244</v>
      </c>
      <c r="C8">
        <v>85793956.954901844</v>
      </c>
      <c r="D8">
        <v>84684757.53431651</v>
      </c>
      <c r="E8">
        <v>0.36736261252926733</v>
      </c>
      <c r="F8">
        <v>0.987071357238268</v>
      </c>
      <c r="G8" t="s">
        <v>244</v>
      </c>
      <c r="J8">
        <v>85793956.954901844</v>
      </c>
      <c r="L8">
        <v>84684757.534465089</v>
      </c>
      <c r="N8">
        <v>86930186.711515307</v>
      </c>
      <c r="P8">
        <v>88694452.493483335</v>
      </c>
      <c r="R8">
        <v>86930186.711515307</v>
      </c>
      <c r="T8">
        <v>89656779.283647701</v>
      </c>
      <c r="V8">
        <v>91902208.460697904</v>
      </c>
      <c r="X8">
        <v>95109964.427912503</v>
      </c>
    </row>
    <row r="9" spans="2:24" x14ac:dyDescent="0.35">
      <c r="B9" t="s">
        <v>245</v>
      </c>
      <c r="C9">
        <v>25853263.544349153</v>
      </c>
      <c r="D9">
        <v>25695302.496300716</v>
      </c>
      <c r="E9">
        <v>0.11146626299243642</v>
      </c>
      <c r="F9">
        <v>0.99389009253019578</v>
      </c>
      <c r="G9" t="s">
        <v>245</v>
      </c>
      <c r="J9">
        <v>25853263.544349153</v>
      </c>
      <c r="L9">
        <v>25695302.496295653</v>
      </c>
      <c r="N9">
        <v>26376617.335212585</v>
      </c>
      <c r="P9">
        <v>26911936.137218747</v>
      </c>
      <c r="R9">
        <v>26376617.335212588</v>
      </c>
      <c r="T9">
        <v>27203928.211040288</v>
      </c>
      <c r="V9">
        <v>27885243.049957216</v>
      </c>
      <c r="X9">
        <v>28858549.962695692</v>
      </c>
    </row>
    <row r="10" spans="2:24" x14ac:dyDescent="0.35">
      <c r="B10" t="s">
        <v>246</v>
      </c>
      <c r="C10">
        <v>3477019.9244330269</v>
      </c>
      <c r="D10">
        <v>3384912.7114241603</v>
      </c>
      <c r="E10">
        <v>1.4683756712043607E-2</v>
      </c>
      <c r="F10">
        <v>0.97350972527892954</v>
      </c>
      <c r="G10" t="s">
        <v>246</v>
      </c>
      <c r="J10">
        <v>3477019.9244330269</v>
      </c>
      <c r="L10">
        <v>3384912.7114278823</v>
      </c>
      <c r="N10">
        <v>3474664.1848369553</v>
      </c>
      <c r="P10">
        <v>3545183.1996583696</v>
      </c>
      <c r="R10">
        <v>3474664.1848369553</v>
      </c>
      <c r="T10">
        <v>3583648.1168336859</v>
      </c>
      <c r="V10">
        <v>3673399.5902427584</v>
      </c>
      <c r="X10">
        <v>3801615.9808271481</v>
      </c>
    </row>
    <row r="11" spans="2:24" x14ac:dyDescent="0.35">
      <c r="B11" t="s">
        <v>247</v>
      </c>
      <c r="C11">
        <v>23812949.963514369</v>
      </c>
      <c r="D11">
        <v>21053277.62907644</v>
      </c>
      <c r="E11">
        <v>9.1329151754226873E-2</v>
      </c>
      <c r="F11">
        <v>0.8841104382839492</v>
      </c>
      <c r="G11" t="s">
        <v>247</v>
      </c>
      <c r="J11">
        <v>23812949.963514369</v>
      </c>
      <c r="L11">
        <v>21053277.628982399</v>
      </c>
      <c r="N11">
        <v>21611508.475205418</v>
      </c>
      <c r="P11">
        <v>22050118.425809219</v>
      </c>
      <c r="R11">
        <v>21611508.475205418</v>
      </c>
      <c r="T11">
        <v>22289360.21704765</v>
      </c>
      <c r="V11">
        <v>22847591.063270666</v>
      </c>
      <c r="X11">
        <v>23645063.700732123</v>
      </c>
    </row>
    <row r="12" spans="2:24" x14ac:dyDescent="0.35">
      <c r="B12" t="s">
        <v>239</v>
      </c>
      <c r="C12">
        <v>7476486.267967687</v>
      </c>
      <c r="D12">
        <v>7476486.267967687</v>
      </c>
      <c r="E12">
        <v>3.2433009291274337E-2</v>
      </c>
      <c r="F12">
        <v>1</v>
      </c>
      <c r="G12" t="s">
        <v>230</v>
      </c>
      <c r="J12">
        <v>7476486.267967687</v>
      </c>
      <c r="L12">
        <v>7476486.267967687</v>
      </c>
      <c r="N12">
        <v>7674726.4341638004</v>
      </c>
      <c r="P12">
        <v>7830486.5647464609</v>
      </c>
      <c r="R12">
        <v>7674726.4341638004</v>
      </c>
      <c r="T12">
        <v>7915446.635973365</v>
      </c>
      <c r="V12">
        <v>8113686.8021694776</v>
      </c>
      <c r="X12">
        <v>8396887.0395924971</v>
      </c>
    </row>
    <row r="13" spans="2:24" x14ac:dyDescent="0.35">
      <c r="B13" t="s">
        <v>240</v>
      </c>
      <c r="C13">
        <v>5661247.5744060008</v>
      </c>
      <c r="D13">
        <v>5661247.5744060008</v>
      </c>
      <c r="E13">
        <v>2.455850095887686E-2</v>
      </c>
      <c r="F13">
        <v>1</v>
      </c>
      <c r="G13" t="s">
        <v>231</v>
      </c>
      <c r="J13">
        <v>5661247.5744060008</v>
      </c>
      <c r="L13">
        <v>5661247.5744060008</v>
      </c>
      <c r="N13">
        <v>5661247.5744060008</v>
      </c>
      <c r="P13">
        <v>5661247.5744060008</v>
      </c>
      <c r="R13">
        <v>5661247.5744060008</v>
      </c>
      <c r="T13">
        <v>5661247.5744060008</v>
      </c>
      <c r="V13">
        <v>5661247.5744060008</v>
      </c>
      <c r="X13">
        <v>5661247.5744060008</v>
      </c>
    </row>
    <row r="14" spans="2:24" x14ac:dyDescent="0.35">
      <c r="B14" t="s">
        <v>241</v>
      </c>
      <c r="C14">
        <v>4845106.248958258</v>
      </c>
      <c r="D14">
        <v>4845106.248958258</v>
      </c>
      <c r="E14">
        <v>2.1018078594343466E-2</v>
      </c>
      <c r="F14">
        <v>1</v>
      </c>
      <c r="G14" t="s">
        <v>232</v>
      </c>
      <c r="J14">
        <v>4845106.248958258</v>
      </c>
      <c r="L14">
        <v>4845106.248958258</v>
      </c>
      <c r="N14">
        <v>4845106.248958258</v>
      </c>
      <c r="P14">
        <v>4845106.248958258</v>
      </c>
      <c r="R14">
        <v>4845106.248958258</v>
      </c>
      <c r="T14">
        <v>4845106.248958258</v>
      </c>
      <c r="V14">
        <v>4845106.248958258</v>
      </c>
      <c r="X14">
        <v>4845106.248958258</v>
      </c>
    </row>
    <row r="15" spans="2:24" x14ac:dyDescent="0.35">
      <c r="B15" t="s">
        <v>242</v>
      </c>
      <c r="C15">
        <v>28467261</v>
      </c>
      <c r="D15">
        <v>28467261</v>
      </c>
      <c r="E15">
        <v>0.12349102337896808</v>
      </c>
      <c r="F15">
        <v>1</v>
      </c>
      <c r="G15" t="s">
        <v>234</v>
      </c>
      <c r="J15">
        <v>28467261</v>
      </c>
      <c r="L15">
        <v>28467261</v>
      </c>
      <c r="N15">
        <v>28467261</v>
      </c>
      <c r="P15">
        <v>28467261</v>
      </c>
      <c r="R15">
        <v>28467261</v>
      </c>
      <c r="T15">
        <v>28467261</v>
      </c>
      <c r="V15">
        <v>28467261</v>
      </c>
      <c r="X15">
        <v>28467261</v>
      </c>
    </row>
    <row r="16" spans="2:24" x14ac:dyDescent="0.35">
      <c r="B16" t="s">
        <v>237</v>
      </c>
      <c r="C16">
        <v>278831541.16902232</v>
      </c>
      <c r="D16">
        <v>230520893.1068612</v>
      </c>
      <c r="E16">
        <v>1</v>
      </c>
      <c r="G16" t="s">
        <v>237</v>
      </c>
      <c r="J16">
        <v>278831541.16902232</v>
      </c>
      <c r="L16">
        <v>237721476.39999774</v>
      </c>
      <c r="N16">
        <v>242991306.06301454</v>
      </c>
      <c r="P16">
        <v>247131886.51252773</v>
      </c>
      <c r="R16">
        <v>242991306.06301454</v>
      </c>
      <c r="T16">
        <v>249390384.93953493</v>
      </c>
      <c r="V16">
        <v>254660214.6025517</v>
      </c>
      <c r="X16">
        <v>262188542.69257572</v>
      </c>
    </row>
    <row r="17" spans="2:24" x14ac:dyDescent="0.35">
      <c r="B17" t="s">
        <v>252</v>
      </c>
      <c r="C17">
        <v>278831541.16902226</v>
      </c>
      <c r="D17">
        <v>278831541.16902226</v>
      </c>
      <c r="E17">
        <v>1.2095716679345241</v>
      </c>
      <c r="G17" t="s">
        <v>248</v>
      </c>
      <c r="J17">
        <v>278831541.16902226</v>
      </c>
      <c r="L17">
        <v>278831541.16902226</v>
      </c>
      <c r="N17">
        <v>278831541.16902226</v>
      </c>
      <c r="P17">
        <v>278831541.16902226</v>
      </c>
      <c r="R17">
        <v>278831541.16902226</v>
      </c>
      <c r="T17">
        <v>278831541.16902226</v>
      </c>
      <c r="V17">
        <v>278831541.16902226</v>
      </c>
      <c r="X17">
        <v>278831541.16902226</v>
      </c>
    </row>
    <row r="18" spans="2:24" x14ac:dyDescent="0.35">
      <c r="B18" t="s">
        <v>249</v>
      </c>
      <c r="C18">
        <v>0</v>
      </c>
      <c r="D18">
        <v>-48310648.062161058</v>
      </c>
      <c r="E18">
        <v>-0.20957166793452417</v>
      </c>
      <c r="G18" t="s">
        <v>251</v>
      </c>
      <c r="J18">
        <v>0</v>
      </c>
      <c r="L18">
        <v>-41110064.769024521</v>
      </c>
      <c r="N18">
        <v>-35840235.106007725</v>
      </c>
      <c r="P18">
        <v>-31699654.656494528</v>
      </c>
      <c r="R18">
        <v>-35840235.106007725</v>
      </c>
      <c r="T18">
        <v>-29441156.22948733</v>
      </c>
      <c r="V18">
        <v>-24171326.566470563</v>
      </c>
      <c r="X18">
        <v>-16642998.476446539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workbookViewId="0">
      <selection activeCell="A17" sqref="A17"/>
    </sheetView>
  </sheetViews>
  <sheetFormatPr defaultRowHeight="14.4" x14ac:dyDescent="0.3"/>
  <cols>
    <col min="1" max="1" width="29.6640625" customWidth="1"/>
    <col min="3" max="3" width="9" customWidth="1"/>
    <col min="5" max="5" width="28.5546875" bestFit="1" customWidth="1"/>
    <col min="9" max="9" width="28.5546875" bestFit="1" customWidth="1"/>
  </cols>
  <sheetData>
    <row r="1" spans="1:11" x14ac:dyDescent="0.35">
      <c r="A1" t="s">
        <v>309</v>
      </c>
      <c r="B1" t="s">
        <v>311</v>
      </c>
      <c r="C1" t="s">
        <v>312</v>
      </c>
      <c r="E1" t="s">
        <v>314</v>
      </c>
      <c r="F1" t="s">
        <v>311</v>
      </c>
      <c r="G1" t="s">
        <v>312</v>
      </c>
      <c r="I1" t="s">
        <v>315</v>
      </c>
      <c r="J1" t="s">
        <v>311</v>
      </c>
      <c r="K1" t="s">
        <v>312</v>
      </c>
    </row>
    <row r="2" spans="1:11" x14ac:dyDescent="0.35">
      <c r="A2" t="s">
        <v>313</v>
      </c>
      <c r="B2" t="s">
        <v>318</v>
      </c>
      <c r="C2" t="s">
        <v>318</v>
      </c>
      <c r="E2" t="s">
        <v>320</v>
      </c>
      <c r="F2" t="s">
        <v>318</v>
      </c>
      <c r="G2" t="s">
        <v>318</v>
      </c>
      <c r="I2" t="s">
        <v>319</v>
      </c>
      <c r="J2" t="s">
        <v>318</v>
      </c>
      <c r="K2" t="s">
        <v>318</v>
      </c>
    </row>
    <row r="3" spans="1:11" x14ac:dyDescent="0.35">
      <c r="A3" t="s">
        <v>310</v>
      </c>
      <c r="E3" t="s">
        <v>310</v>
      </c>
      <c r="I3" t="s">
        <v>310</v>
      </c>
    </row>
    <row r="5" spans="1:11" x14ac:dyDescent="0.35">
      <c r="A5" t="s">
        <v>316</v>
      </c>
      <c r="B5" t="s">
        <v>311</v>
      </c>
      <c r="C5" t="s">
        <v>312</v>
      </c>
      <c r="E5" t="s">
        <v>321</v>
      </c>
      <c r="F5" t="s">
        <v>311</v>
      </c>
      <c r="G5" t="s">
        <v>312</v>
      </c>
      <c r="I5" t="s">
        <v>322</v>
      </c>
      <c r="J5" t="s">
        <v>311</v>
      </c>
      <c r="K5" t="s">
        <v>312</v>
      </c>
    </row>
    <row r="6" spans="1:11" x14ac:dyDescent="0.35">
      <c r="A6" t="s">
        <v>313</v>
      </c>
      <c r="B6" t="s">
        <v>318</v>
      </c>
      <c r="C6" t="s">
        <v>318</v>
      </c>
      <c r="E6" t="s">
        <v>320</v>
      </c>
      <c r="F6" t="s">
        <v>318</v>
      </c>
      <c r="G6" t="s">
        <v>318</v>
      </c>
      <c r="I6" t="s">
        <v>319</v>
      </c>
      <c r="J6" t="s">
        <v>318</v>
      </c>
      <c r="K6" t="s">
        <v>318</v>
      </c>
    </row>
    <row r="7" spans="1:11" x14ac:dyDescent="0.35">
      <c r="A7" t="s">
        <v>317</v>
      </c>
      <c r="E7" t="s">
        <v>317</v>
      </c>
      <c r="I7" t="s">
        <v>317</v>
      </c>
    </row>
  </sheetData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Z138"/>
  <sheetViews>
    <sheetView tabSelected="1" topLeftCell="B15" zoomScaleNormal="100" workbookViewId="0">
      <selection activeCell="Q20" sqref="Q20"/>
    </sheetView>
  </sheetViews>
  <sheetFormatPr defaultRowHeight="14.4" x14ac:dyDescent="0.3"/>
  <cols>
    <col min="3" max="3" width="20" bestFit="1" customWidth="1"/>
    <col min="4" max="4" width="10.6640625" bestFit="1" customWidth="1"/>
    <col min="5" max="5" width="10.44140625" style="389" customWidth="1"/>
    <col min="6" max="6" width="9.77734375" bestFit="1" customWidth="1"/>
    <col min="7" max="7" width="9.77734375" style="389" bestFit="1" customWidth="1"/>
    <col min="8" max="8" width="9.77734375" bestFit="1" customWidth="1"/>
    <col min="9" max="9" width="9.77734375" style="389" customWidth="1"/>
    <col min="10" max="10" width="9.88671875" style="389" bestFit="1" customWidth="1"/>
    <col min="11" max="11" width="9.88671875" bestFit="1" customWidth="1"/>
    <col min="12" max="12" width="8.77734375" style="389"/>
    <col min="13" max="13" width="17" bestFit="1" customWidth="1"/>
    <col min="14" max="14" width="9.77734375" style="389" bestFit="1" customWidth="1"/>
    <col min="15" max="15" width="19.77734375" style="389" bestFit="1" customWidth="1"/>
    <col min="16" max="16" width="12.77734375" bestFit="1" customWidth="1"/>
    <col min="17" max="17" width="9.77734375" style="389" bestFit="1" customWidth="1"/>
    <col min="18" max="18" width="9.77734375" bestFit="1" customWidth="1"/>
    <col min="19" max="19" width="8.77734375" style="389"/>
    <col min="21" max="21" width="8.77734375" style="389"/>
    <col min="23" max="24" width="8.77734375" style="389"/>
    <col min="26" max="26" width="11.88671875" bestFit="1" customWidth="1"/>
  </cols>
  <sheetData>
    <row r="2" spans="3:26" ht="18.45" x14ac:dyDescent="0.45">
      <c r="C2" s="861" t="s">
        <v>642</v>
      </c>
      <c r="D2" s="861"/>
      <c r="E2" s="861"/>
      <c r="F2" s="861"/>
      <c r="G2" s="861"/>
      <c r="H2" s="861"/>
      <c r="I2" s="861"/>
      <c r="J2" s="861"/>
      <c r="K2" s="861"/>
      <c r="L2" s="861"/>
      <c r="M2" s="861"/>
      <c r="N2" s="861"/>
      <c r="O2" s="861"/>
      <c r="P2" s="761"/>
      <c r="Q2" s="761"/>
      <c r="R2" s="761"/>
      <c r="S2" s="761"/>
      <c r="T2" s="761"/>
      <c r="U2" s="761"/>
      <c r="V2" s="761"/>
      <c r="W2" s="761"/>
      <c r="X2" s="761"/>
      <c r="Y2" s="761"/>
      <c r="Z2" s="761"/>
    </row>
    <row r="3" spans="3:26" ht="15" thickBot="1" x14ac:dyDescent="0.4">
      <c r="C3" s="452"/>
      <c r="D3" s="452"/>
      <c r="E3" s="452"/>
      <c r="F3" s="452"/>
      <c r="G3" s="452"/>
      <c r="H3" s="452"/>
      <c r="I3" s="452"/>
      <c r="J3" s="452"/>
      <c r="K3" s="452"/>
      <c r="L3" s="452"/>
      <c r="M3" s="452"/>
      <c r="N3" s="452"/>
      <c r="O3" s="452"/>
      <c r="P3" s="452"/>
      <c r="Q3" s="452"/>
      <c r="R3" s="452"/>
      <c r="S3" s="452"/>
      <c r="T3" s="452"/>
      <c r="U3" s="452"/>
      <c r="V3" s="452"/>
      <c r="W3" s="452"/>
      <c r="X3" s="452"/>
      <c r="Y3" s="452"/>
      <c r="Z3" s="452"/>
    </row>
    <row r="4" spans="3:26" s="389" customFormat="1" ht="15" thickBot="1" x14ac:dyDescent="0.4">
      <c r="C4" s="795" t="s">
        <v>644</v>
      </c>
      <c r="D4" s="796" t="s">
        <v>243</v>
      </c>
      <c r="E4" s="797" t="s">
        <v>244</v>
      </c>
      <c r="F4" s="796" t="s">
        <v>267</v>
      </c>
      <c r="G4" s="797" t="s">
        <v>629</v>
      </c>
      <c r="H4" s="796" t="s">
        <v>247</v>
      </c>
      <c r="I4" s="797" t="s">
        <v>665</v>
      </c>
      <c r="J4" s="797" t="s">
        <v>231</v>
      </c>
      <c r="K4" s="796" t="s">
        <v>230</v>
      </c>
      <c r="L4" s="798" t="s">
        <v>232</v>
      </c>
      <c r="M4" s="796" t="s">
        <v>631</v>
      </c>
      <c r="N4" s="797" t="s">
        <v>195</v>
      </c>
      <c r="O4" s="799" t="s">
        <v>643</v>
      </c>
      <c r="P4" s="766"/>
      <c r="Q4" s="764"/>
      <c r="R4" s="765"/>
      <c r="S4" s="765"/>
      <c r="T4" s="765"/>
      <c r="U4" s="764"/>
      <c r="V4" s="766"/>
      <c r="W4" s="452"/>
      <c r="X4" s="452"/>
      <c r="Y4" s="452"/>
      <c r="Z4" s="452"/>
    </row>
    <row r="5" spans="3:26" s="389" customFormat="1" ht="14.55" x14ac:dyDescent="0.35">
      <c r="C5" s="802" t="s">
        <v>390</v>
      </c>
      <c r="D5" s="476">
        <f>SUM('App B.2 Savings'!E7+'App B.2 Savings'!E15+'App B.2 Savings'!E21+'App B.2 Savings'!E19)</f>
        <v>452402078.05941612</v>
      </c>
      <c r="E5" s="476">
        <f>SUM('App B.2 Savings'!F25+'App B.2 Savings'!F26+'App B.2 Savings'!F27+'App B.2 Savings'!F29+'App B.2 Savings'!F30+'App B.2 Savings'!F31+'App B.2 Savings'!F32+'App B.2 Savings'!E34)</f>
        <v>211622092.03923601</v>
      </c>
      <c r="F5" s="476">
        <f>SUM('App B.2 Savings'!E45+'App B.2 Savings'!E50)</f>
        <v>91592104.493685812</v>
      </c>
      <c r="G5" s="476">
        <f>SUM('App B.2 Savings'!E59)</f>
        <v>35988456.662262999</v>
      </c>
      <c r="H5" s="476">
        <f>SUM('App B.2 Savings'!E83+'App B.2 Savings'!E112)</f>
        <v>30837742.999697186</v>
      </c>
      <c r="I5" s="476">
        <f>SUM('App B.2 Savings'!E33)</f>
        <v>28285301</v>
      </c>
      <c r="J5" s="476">
        <f>SUM('App B.2 Savings'!E69)</f>
        <v>640989575.32174087</v>
      </c>
      <c r="K5" s="476">
        <f>SUM('App B.2 Savings'!E75)</f>
        <v>0</v>
      </c>
      <c r="L5" s="476">
        <f>SUM('App B.2 Savings'!E79)</f>
        <v>628024.96779440495</v>
      </c>
      <c r="M5" s="476">
        <f>SUM('App B.2 Savings'!E64)</f>
        <v>0</v>
      </c>
      <c r="N5" s="762">
        <f>SUM('App B.2 Savings'!E125)</f>
        <v>1673208</v>
      </c>
      <c r="O5" s="800">
        <f>SUM(D5:N5)</f>
        <v>1494018583.5438335</v>
      </c>
      <c r="P5" s="767"/>
      <c r="Q5" s="767"/>
      <c r="R5" s="767"/>
      <c r="S5" s="767"/>
      <c r="T5" s="767"/>
      <c r="U5" s="767"/>
      <c r="V5" s="767"/>
      <c r="W5" s="452"/>
      <c r="X5" s="452"/>
      <c r="Y5" s="452"/>
      <c r="Z5" s="452"/>
    </row>
    <row r="6" spans="3:26" s="389" customFormat="1" ht="14.55" x14ac:dyDescent="0.35">
      <c r="C6" s="803" t="s">
        <v>391</v>
      </c>
      <c r="D6" s="476">
        <f>SUM('App B.2 Savings'!J7+'App B.2 Savings'!JI15+'App B.2 Savings'!J19+'App B.2 Savings'!J21)</f>
        <v>36627.36788108715</v>
      </c>
      <c r="E6" s="476">
        <f>SUM('App B.2 Savings'!J25+'App B.2 Savings'!J26+'App B.2 Savings'!J27+'App B.2 Savings'!J29+'App B.2 Savings'!J30+'App B.2 Savings'!J32+'App B.2 Savings'!J34)</f>
        <v>47008.921649742813</v>
      </c>
      <c r="F6" s="476">
        <f>SUM('App B.2 Savings'!J45+'App B.2 Savings'!J50)</f>
        <v>12240.731522599999</v>
      </c>
      <c r="G6" s="476">
        <f>SUM('App B.2 Savings'!J59)</f>
        <v>7321.2355929000005</v>
      </c>
      <c r="H6" s="476">
        <f>SUM('App B.2 Savings'!J83+'App B.2 Savings'!J112)</f>
        <v>3720.7640000614783</v>
      </c>
      <c r="I6" s="476">
        <f>SUM('App B.2 Savings'!J33)</f>
        <v>4416</v>
      </c>
      <c r="J6" s="476">
        <f>SUM('App B.2 Savings'!J69)</f>
        <v>147349.20742652434</v>
      </c>
      <c r="K6" s="476">
        <f>SUM('App B.2 Savings'!J75)</f>
        <v>0</v>
      </c>
      <c r="L6" s="476">
        <f>SUM('App B.2 Savings'!J79)</f>
        <v>192.52797351199999</v>
      </c>
      <c r="M6" s="476">
        <f>SUM('App B.2 Savings'!J64)</f>
        <v>0</v>
      </c>
      <c r="N6" s="762">
        <f>SUM('App B.2 Savings'!J125)</f>
        <v>1044</v>
      </c>
      <c r="O6" s="801">
        <f>SUM(D6:M6)</f>
        <v>258876.75604642779</v>
      </c>
      <c r="P6" s="767"/>
      <c r="Q6" s="767"/>
      <c r="R6" s="767"/>
      <c r="S6" s="767"/>
      <c r="T6" s="767"/>
      <c r="U6" s="767"/>
      <c r="V6" s="767"/>
      <c r="W6" s="452"/>
      <c r="X6" s="452"/>
      <c r="Y6" s="452"/>
      <c r="Z6" s="452"/>
    </row>
    <row r="7" spans="3:26" s="389" customFormat="1" ht="15" thickBot="1" x14ac:dyDescent="0.4">
      <c r="C7" s="728" t="s">
        <v>392</v>
      </c>
      <c r="D7" s="479"/>
      <c r="E7" s="479"/>
      <c r="F7" s="479"/>
      <c r="G7" s="479"/>
      <c r="H7" s="479"/>
      <c r="I7" s="479"/>
      <c r="J7" s="479"/>
      <c r="K7" s="479"/>
      <c r="L7" s="479"/>
      <c r="M7" s="479"/>
      <c r="N7" s="763"/>
      <c r="O7" s="480"/>
      <c r="P7" s="767"/>
      <c r="Q7" s="767"/>
      <c r="R7" s="767"/>
      <c r="S7" s="767"/>
      <c r="T7" s="767"/>
      <c r="U7" s="767"/>
      <c r="V7" s="767"/>
      <c r="W7" s="452"/>
      <c r="X7" s="452"/>
      <c r="Y7" s="452"/>
      <c r="Z7" s="452"/>
    </row>
    <row r="8" spans="3:26" s="389" customFormat="1" ht="14.55" x14ac:dyDescent="0.35">
      <c r="C8" s="452"/>
      <c r="D8" s="452"/>
      <c r="E8" s="452"/>
      <c r="F8" s="452"/>
      <c r="G8" s="452"/>
      <c r="H8" s="452"/>
      <c r="I8" s="452"/>
      <c r="J8" s="452"/>
      <c r="K8" s="452"/>
      <c r="L8" s="452"/>
      <c r="M8" s="452"/>
      <c r="N8" s="452"/>
      <c r="O8" s="452"/>
      <c r="P8" s="452"/>
      <c r="Q8" s="452"/>
      <c r="R8" s="452"/>
      <c r="S8" s="452"/>
      <c r="T8" s="452"/>
      <c r="U8" s="452"/>
      <c r="V8" s="452"/>
      <c r="W8" s="452"/>
      <c r="X8" s="452"/>
      <c r="Y8" s="452"/>
      <c r="Z8" s="452"/>
    </row>
    <row r="9" spans="3:26" s="389" customFormat="1" ht="15" thickBot="1" x14ac:dyDescent="0.4">
      <c r="C9" s="452"/>
      <c r="D9" s="452"/>
      <c r="E9" s="452"/>
      <c r="F9" s="452"/>
      <c r="G9" s="452"/>
      <c r="H9" s="452"/>
      <c r="I9" s="452"/>
      <c r="J9" s="452"/>
      <c r="K9" s="452"/>
      <c r="L9" s="452"/>
      <c r="M9" s="452"/>
      <c r="N9" s="452"/>
      <c r="O9" s="452"/>
      <c r="P9" s="452"/>
      <c r="Q9" s="452"/>
      <c r="R9" s="452"/>
      <c r="S9" s="452"/>
      <c r="T9" s="452"/>
      <c r="U9" s="452"/>
      <c r="V9" s="452"/>
      <c r="W9" s="452"/>
      <c r="X9" s="452"/>
      <c r="Y9" s="452"/>
      <c r="Z9" s="452"/>
    </row>
    <row r="10" spans="3:26" ht="15" thickBot="1" x14ac:dyDescent="0.4">
      <c r="C10" s="795" t="s">
        <v>645</v>
      </c>
      <c r="D10" s="796" t="s">
        <v>243</v>
      </c>
      <c r="E10" s="797" t="s">
        <v>244</v>
      </c>
      <c r="F10" s="796" t="s">
        <v>267</v>
      </c>
      <c r="G10" s="797" t="s">
        <v>629</v>
      </c>
      <c r="H10" s="796" t="s">
        <v>247</v>
      </c>
      <c r="I10" s="797" t="s">
        <v>665</v>
      </c>
      <c r="J10" s="797" t="s">
        <v>231</v>
      </c>
      <c r="K10" s="796" t="s">
        <v>230</v>
      </c>
      <c r="L10" s="798" t="s">
        <v>232</v>
      </c>
      <c r="M10" s="796" t="s">
        <v>631</v>
      </c>
      <c r="N10" s="797" t="s">
        <v>195</v>
      </c>
      <c r="O10" s="799" t="s">
        <v>643</v>
      </c>
      <c r="P10" s="452"/>
      <c r="Q10" s="452"/>
      <c r="R10" s="452"/>
      <c r="S10" s="452"/>
      <c r="T10" s="452"/>
      <c r="U10" s="452"/>
      <c r="V10" s="452"/>
      <c r="W10" s="452"/>
      <c r="X10" s="452"/>
      <c r="Y10" s="730"/>
      <c r="Z10" s="452"/>
    </row>
    <row r="11" spans="3:26" ht="14.55" x14ac:dyDescent="0.35">
      <c r="C11" s="802" t="s">
        <v>390</v>
      </c>
      <c r="D11" s="476">
        <f>SUM('App B.2 Savings'!F7+'App B.2 Savings'!F15+'App B.2 Savings'!F21+'App B.2 Savings'!F19)</f>
        <v>283305939.7528674</v>
      </c>
      <c r="E11" s="476">
        <f>SUM('App B.2 Savings'!F25+'App B.2 Savings'!F26+'App B.2 Savings'!F27+'App B.2 Savings'!F29+'App B.2 Savings'!F30+'App B.2 Savings'!F31+'App B.2 Savings'!F32+'App B.2 Savings'!F34)</f>
        <v>227905939.027316</v>
      </c>
      <c r="F11" s="476">
        <f>SUM('App B.2 Savings'!F45+'App B.2 Savings'!F50)</f>
        <v>115228721.19118436</v>
      </c>
      <c r="G11" s="476">
        <f>SUM('App B.2 Savings'!F59)</f>
        <v>8425712.7160999998</v>
      </c>
      <c r="H11" s="476">
        <f>SUM('App B.2 Savings'!F83+'App B.2 Savings'!F112)</f>
        <v>32721359.398047339</v>
      </c>
      <c r="I11" s="476">
        <f>SUM('App B.2 Savings'!F33)</f>
        <v>30884537.32</v>
      </c>
      <c r="J11" s="476">
        <f>SUM('App B.2 Savings'!F69)</f>
        <v>619000000</v>
      </c>
      <c r="K11" s="476">
        <f>SUM('App B.2 Savings'!F75)</f>
        <v>0</v>
      </c>
      <c r="L11" s="476">
        <f>SUM('App B.2 Savings'!F79)</f>
        <v>163762.71697900002</v>
      </c>
      <c r="M11" s="476">
        <f>SUM('App B.2 Savings'!F64)</f>
        <v>0</v>
      </c>
      <c r="N11" s="762">
        <f>SUM('App B.2 Savings'!F125)</f>
        <v>2139476.75</v>
      </c>
      <c r="O11" s="800">
        <f>SUM(D11:N11)</f>
        <v>1319775448.8724942</v>
      </c>
      <c r="P11" s="452"/>
      <c r="Q11" s="452"/>
      <c r="R11" s="452"/>
      <c r="S11" s="452"/>
      <c r="T11" s="452"/>
      <c r="U11" s="452"/>
      <c r="V11" s="452"/>
      <c r="W11" s="452"/>
      <c r="X11" s="452"/>
      <c r="Y11" s="730"/>
      <c r="Z11" s="452"/>
    </row>
    <row r="12" spans="3:26" s="389" customFormat="1" ht="14.55" x14ac:dyDescent="0.35">
      <c r="C12" s="803" t="s">
        <v>391</v>
      </c>
      <c r="D12" s="476">
        <f>SUM('App B.2 Savings'!K7+'App B.2 Savings'!K15+'App B.2 Savings'!K21+'App B.2 Savings'!K19)</f>
        <v>53308.080262952295</v>
      </c>
      <c r="E12" s="476">
        <f>SUM('App B.2 Savings'!K25+'App B.2 Savings'!K26+'App B.2 Savings'!K27+'App B.2 Savings'!K29+'App B.2 Savings'!K30+'App B.2 Savings'!K31+'App B.2 Savings'!K32+'App B.2 Savings'!K34)</f>
        <v>49352.712107575244</v>
      </c>
      <c r="F12" s="476">
        <f>SUM('App B.2 Savings'!K45+'App B.2 Savings'!K50)</f>
        <v>14075.602812120002</v>
      </c>
      <c r="G12" s="476">
        <f>SUM('App B.2 Savings'!K59)</f>
        <v>997.73834750000003</v>
      </c>
      <c r="H12" s="476">
        <f>SUM('App B.2 Savings'!K83+'App B.2 Savings'!K112)</f>
        <v>2920.9375188433114</v>
      </c>
      <c r="I12" s="476">
        <f>SUM('App B.2 Savings'!K33)</f>
        <v>4649.6499999999996</v>
      </c>
      <c r="J12" s="476">
        <f>SUM('App B.2 Savings'!K69)</f>
        <v>144000</v>
      </c>
      <c r="K12" s="476">
        <f>SUM('App B.2 Savings'!K75)</f>
        <v>0</v>
      </c>
      <c r="L12" s="476">
        <f>SUM('App B.2 Savings'!K79)</f>
        <v>34.517254000000001</v>
      </c>
      <c r="M12" s="476">
        <f>SUM('App B.2 Savings'!K64)</f>
        <v>0</v>
      </c>
      <c r="N12" s="762">
        <f>SUM('App B.2 Savings'!K125)</f>
        <v>1258.19</v>
      </c>
      <c r="O12" s="801">
        <f>SUM(D12:M12)</f>
        <v>269339.23830299085</v>
      </c>
      <c r="P12" s="452"/>
      <c r="Q12" s="452"/>
      <c r="R12" s="452"/>
      <c r="S12" s="452"/>
      <c r="T12" s="452"/>
      <c r="U12" s="452"/>
      <c r="V12" s="452"/>
      <c r="W12" s="452"/>
      <c r="X12" s="452"/>
      <c r="Y12" s="452"/>
      <c r="Z12" s="452"/>
    </row>
    <row r="13" spans="3:26" ht="15" thickBot="1" x14ac:dyDescent="0.4">
      <c r="C13" s="728" t="s">
        <v>392</v>
      </c>
      <c r="D13" s="479"/>
      <c r="E13" s="479"/>
      <c r="F13" s="479"/>
      <c r="G13" s="479"/>
      <c r="H13" s="479"/>
      <c r="I13" s="479"/>
      <c r="J13" s="479"/>
      <c r="K13" s="479"/>
      <c r="L13" s="479"/>
      <c r="M13" s="479"/>
      <c r="N13" s="763"/>
      <c r="O13" s="480"/>
      <c r="Q13"/>
      <c r="S13"/>
      <c r="U13"/>
      <c r="W13"/>
      <c r="X13"/>
    </row>
    <row r="14" spans="3:26" ht="14.55" x14ac:dyDescent="0.35">
      <c r="E14"/>
      <c r="G14"/>
      <c r="J14"/>
      <c r="L14"/>
      <c r="N14"/>
      <c r="O14"/>
      <c r="Q14"/>
      <c r="S14"/>
      <c r="U14"/>
      <c r="W14"/>
      <c r="X14"/>
    </row>
    <row r="15" spans="3:26" ht="15" thickBot="1" x14ac:dyDescent="0.4">
      <c r="E15"/>
      <c r="G15"/>
      <c r="J15"/>
      <c r="L15"/>
      <c r="N15"/>
      <c r="O15"/>
      <c r="Q15"/>
      <c r="S15"/>
      <c r="U15"/>
      <c r="W15"/>
      <c r="X15"/>
    </row>
    <row r="16" spans="3:26" ht="15" thickBot="1" x14ac:dyDescent="0.4">
      <c r="C16" s="795" t="s">
        <v>646</v>
      </c>
      <c r="D16" s="796" t="s">
        <v>243</v>
      </c>
      <c r="E16" s="797" t="s">
        <v>244</v>
      </c>
      <c r="F16" s="796" t="s">
        <v>267</v>
      </c>
      <c r="G16" s="797" t="s">
        <v>629</v>
      </c>
      <c r="H16" s="796" t="s">
        <v>247</v>
      </c>
      <c r="I16" s="797" t="s">
        <v>665</v>
      </c>
      <c r="J16" s="797" t="s">
        <v>231</v>
      </c>
      <c r="K16" s="796" t="s">
        <v>230</v>
      </c>
      <c r="L16" s="798" t="s">
        <v>232</v>
      </c>
      <c r="M16" s="796" t="s">
        <v>631</v>
      </c>
      <c r="N16" s="797" t="s">
        <v>195</v>
      </c>
      <c r="O16" s="799" t="s">
        <v>643</v>
      </c>
      <c r="Q16"/>
      <c r="S16"/>
      <c r="U16"/>
      <c r="W16"/>
      <c r="X16"/>
    </row>
    <row r="17" spans="3:24" ht="14.55" x14ac:dyDescent="0.35">
      <c r="C17" s="802" t="s">
        <v>390</v>
      </c>
      <c r="D17" s="476">
        <f>SUM('App B.2 Savings'!G7+'App B.2 Savings'!G15+'App B.2 Savings'!G19+'App B.2 Savings'!G21)</f>
        <v>349456318.77674907</v>
      </c>
      <c r="E17" s="476">
        <f>SUM('App B.2 Savings'!G25+'App B.2 Savings'!G26+'App B.2 Savings'!G27+'App B.2 Savings'!G29+'App B.2 Savings'!G30+'App B.2 Savings'!G31+'App B.2 Savings'!G32+'App B.2 Savings'!G34)</f>
        <v>218508623.49047458</v>
      </c>
      <c r="F17" s="476">
        <f>SUM('App B.2 Savings'!G45+'App B.2 Savings'!G50)</f>
        <v>101235053.00775278</v>
      </c>
      <c r="G17" s="476">
        <f>SUM('App B.2 Savings'!G59)</f>
        <v>3056925.2127</v>
      </c>
      <c r="H17" s="476">
        <f>SUM('App B.2 Savings'!G83+'App B.2 Savings'!G112)</f>
        <v>36334555.743667111</v>
      </c>
      <c r="I17" s="476">
        <f>SUM('App B.2 Savings'!G33)</f>
        <v>30881957</v>
      </c>
      <c r="J17" s="476">
        <f>SUM('App B.2 Savings'!G69)</f>
        <v>660569233.53682208</v>
      </c>
      <c r="K17" s="476">
        <f>SUM('App B.2 Savings'!G75)</f>
        <v>0</v>
      </c>
      <c r="L17" s="476">
        <f>SUM('App B.2 Savings'!G79)</f>
        <v>0</v>
      </c>
      <c r="M17" s="476">
        <f>SUM('App B.2 Savings'!G64)</f>
        <v>0</v>
      </c>
      <c r="N17" s="762">
        <f>SUM('App B.2 Savings'!G125)</f>
        <v>9557264.2521855701</v>
      </c>
      <c r="O17" s="800">
        <f>SUM(D17:N17)</f>
        <v>1409599931.0203512</v>
      </c>
      <c r="Q17"/>
      <c r="S17"/>
      <c r="U17"/>
      <c r="W17"/>
      <c r="X17"/>
    </row>
    <row r="18" spans="3:24" ht="14.55" x14ac:dyDescent="0.35">
      <c r="C18" s="803" t="s">
        <v>391</v>
      </c>
      <c r="D18" s="476">
        <f>SUM('App B.2 Savings'!L7+'App B.2 Savings'!L15+'App B.2 Savings'!L19+'App B.2 Savings'!L21)</f>
        <v>83626.819228900218</v>
      </c>
      <c r="E18" s="476">
        <f>SUM('App B.2 Savings'!L25+'App B.2 Savings'!L26+'App B.2 Savings'!L27+'App B.2 Savings'!L29+'App B.2 Savings'!L30+'App B.2 Savings'!L31+'App B.2 Savings'!L32+'App B.2 Savings'!L34)</f>
        <v>47114.70766986956</v>
      </c>
      <c r="F18" s="476">
        <f>SUM('App B.2 Savings'!L45+'App B.2 Savings'!L50)</f>
        <v>11122.709746029175</v>
      </c>
      <c r="G18" s="476">
        <f>SUM('App B.2 Savings'!L59)</f>
        <v>614.94092213361</v>
      </c>
      <c r="H18" s="476">
        <f>SUM('App B.2 Savings'!L83+'App B.2 Savings'!L112)</f>
        <v>4099.3993180765201</v>
      </c>
      <c r="I18" s="476">
        <f>SUM('App B.2 Savings'!L33)</f>
        <v>4486</v>
      </c>
      <c r="J18" s="476">
        <f>SUM('App B.2 Savings'!L69)</f>
        <v>128584.95746406852</v>
      </c>
      <c r="K18" s="476">
        <f>SUM('App B.2 Savings'!L75)</f>
        <v>0</v>
      </c>
      <c r="L18" s="476">
        <f>SUM('App B.2 Savings'!L79)</f>
        <v>0</v>
      </c>
      <c r="M18" s="476">
        <f>SUM('App B.2 Savings'!L64)</f>
        <v>0</v>
      </c>
      <c r="N18" s="762">
        <f>SUM('App B.2 Savings'!L125)</f>
        <v>9518.0259800000022</v>
      </c>
      <c r="O18" s="801">
        <f>SUM(D18:M18)</f>
        <v>279649.53434907761</v>
      </c>
      <c r="Q18"/>
      <c r="S18"/>
      <c r="U18"/>
      <c r="W18"/>
      <c r="X18"/>
    </row>
    <row r="19" spans="3:24" ht="15" thickBot="1" x14ac:dyDescent="0.4">
      <c r="C19" s="728" t="s">
        <v>392</v>
      </c>
      <c r="D19" s="479"/>
      <c r="E19" s="479"/>
      <c r="F19" s="479"/>
      <c r="G19" s="479"/>
      <c r="H19" s="479"/>
      <c r="I19" s="479"/>
      <c r="J19" s="479"/>
      <c r="K19" s="479"/>
      <c r="L19" s="479"/>
      <c r="M19" s="479"/>
      <c r="N19" s="763"/>
      <c r="O19" s="480"/>
      <c r="Q19"/>
      <c r="S19"/>
      <c r="U19"/>
      <c r="W19"/>
      <c r="X19"/>
    </row>
    <row r="20" spans="3:24" ht="15" thickBot="1" x14ac:dyDescent="0.4">
      <c r="E20"/>
      <c r="G20"/>
      <c r="J20"/>
      <c r="L20"/>
      <c r="N20"/>
      <c r="O20"/>
      <c r="Q20"/>
      <c r="S20"/>
      <c r="U20"/>
      <c r="W20"/>
      <c r="X20"/>
    </row>
    <row r="21" spans="3:24" ht="15" customHeight="1" thickBot="1" x14ac:dyDescent="0.4">
      <c r="C21" s="795" t="s">
        <v>673</v>
      </c>
      <c r="D21" s="796" t="s">
        <v>243</v>
      </c>
      <c r="E21" s="797" t="s">
        <v>244</v>
      </c>
      <c r="F21" s="796" t="s">
        <v>267</v>
      </c>
      <c r="G21" s="797" t="s">
        <v>629</v>
      </c>
      <c r="H21" s="796" t="s">
        <v>247</v>
      </c>
      <c r="I21" s="797" t="s">
        <v>665</v>
      </c>
      <c r="J21" s="797" t="s">
        <v>231</v>
      </c>
      <c r="K21" s="796" t="s">
        <v>230</v>
      </c>
      <c r="L21" s="798" t="s">
        <v>232</v>
      </c>
      <c r="M21" s="796" t="s">
        <v>631</v>
      </c>
      <c r="N21" s="797" t="s">
        <v>195</v>
      </c>
      <c r="O21" s="799" t="s">
        <v>643</v>
      </c>
      <c r="P21" s="851" t="s">
        <v>655</v>
      </c>
      <c r="Q21"/>
      <c r="R21" s="389" t="s">
        <v>667</v>
      </c>
      <c r="S21"/>
      <c r="U21"/>
      <c r="W21"/>
      <c r="X21"/>
    </row>
    <row r="22" spans="3:24" ht="14.55" x14ac:dyDescent="0.35">
      <c r="C22" s="802" t="s">
        <v>390</v>
      </c>
      <c r="D22" s="476">
        <v>202862703.8465929</v>
      </c>
      <c r="E22" s="476">
        <v>197577971.16651872</v>
      </c>
      <c r="F22" s="476">
        <v>98910311.908897951</v>
      </c>
      <c r="G22" s="476">
        <v>2513985.1655624998</v>
      </c>
      <c r="H22" s="476">
        <v>28443223.283938106</v>
      </c>
      <c r="I22" s="476">
        <f>SUM('2018 Subprogram Est.'!P91)</f>
        <v>30881957</v>
      </c>
      <c r="J22" s="476">
        <f>SUM('2018 Subprogram Est.'!P90)</f>
        <v>421000000</v>
      </c>
      <c r="K22" s="476">
        <f>SUM(K17)</f>
        <v>0</v>
      </c>
      <c r="L22" s="476" t="s">
        <v>331</v>
      </c>
      <c r="M22" s="476">
        <f>SUM(M17)</f>
        <v>0</v>
      </c>
      <c r="N22" s="762">
        <f>SUM(N17*98.707135724%)</f>
        <v>9433701.7969061434</v>
      </c>
      <c r="O22" s="800">
        <f>SUM(D22:N22)</f>
        <v>991623854.16841626</v>
      </c>
      <c r="P22" s="850">
        <v>949000000</v>
      </c>
      <c r="Q22"/>
      <c r="R22" s="389" t="s">
        <v>668</v>
      </c>
      <c r="S22"/>
      <c r="U22"/>
      <c r="W22"/>
      <c r="X22"/>
    </row>
    <row r="23" spans="3:24" ht="14.55" x14ac:dyDescent="0.35">
      <c r="C23" s="803" t="s">
        <v>391</v>
      </c>
      <c r="D23" s="476">
        <v>88754.500189935352</v>
      </c>
      <c r="E23" s="476">
        <v>44780.682551660429</v>
      </c>
      <c r="F23" s="476">
        <v>11103.499506065196</v>
      </c>
      <c r="G23" s="476">
        <v>611.79392213360995</v>
      </c>
      <c r="H23" s="476">
        <v>4212.5227526972512</v>
      </c>
      <c r="I23" s="476">
        <f>SUM('2018 Subprogram Est.'!Q91)</f>
        <v>4486</v>
      </c>
      <c r="J23" s="476">
        <f>SUM('2018 Subprogram Est.'!Q90)</f>
        <v>106000</v>
      </c>
      <c r="K23" s="476">
        <f>SUM(K18)</f>
        <v>0</v>
      </c>
      <c r="L23" s="476" t="s">
        <v>331</v>
      </c>
      <c r="M23" s="476">
        <f>SUM(M18)</f>
        <v>0</v>
      </c>
      <c r="N23" s="762">
        <f>SUM(N18*98.707135724%)</f>
        <v>9394.9708223241832</v>
      </c>
      <c r="O23" s="801">
        <f>SUM(D23:M23)</f>
        <v>259948.99892249182</v>
      </c>
      <c r="P23" s="850">
        <v>206000</v>
      </c>
      <c r="Q23"/>
      <c r="R23" s="389" t="s">
        <v>669</v>
      </c>
      <c r="S23"/>
      <c r="U23"/>
      <c r="W23"/>
      <c r="X23"/>
    </row>
    <row r="24" spans="3:24" s="389" customFormat="1" ht="14.55" x14ac:dyDescent="0.35">
      <c r="C24" s="803" t="s">
        <v>666</v>
      </c>
      <c r="D24" s="854">
        <v>1.0024940074772182</v>
      </c>
      <c r="E24" s="854">
        <v>0.96065718808753731</v>
      </c>
      <c r="F24" s="854">
        <v>0.81813591133158026</v>
      </c>
      <c r="G24" s="854">
        <v>0.15743293348872245</v>
      </c>
      <c r="H24" s="854">
        <v>0.52360513165344891</v>
      </c>
      <c r="I24" s="854"/>
      <c r="J24" s="854">
        <v>1.4966552589053239</v>
      </c>
      <c r="K24" s="854"/>
      <c r="L24" s="854"/>
      <c r="M24" s="854"/>
      <c r="N24" s="855"/>
      <c r="O24" s="860">
        <v>1.00760473817914</v>
      </c>
      <c r="P24" s="850"/>
      <c r="R24" s="389" t="s">
        <v>670</v>
      </c>
    </row>
    <row r="25" spans="3:24" s="389" customFormat="1" ht="14.55" x14ac:dyDescent="0.35">
      <c r="C25" s="749" t="s">
        <v>212</v>
      </c>
      <c r="D25" s="854">
        <v>1.1906114053627062</v>
      </c>
      <c r="E25" s="854">
        <v>1.3385717835680935</v>
      </c>
      <c r="F25" s="854">
        <v>1.5488837176249297</v>
      </c>
      <c r="G25" s="854">
        <v>0.18958892800647414</v>
      </c>
      <c r="H25" s="854">
        <v>0.67638752927668844</v>
      </c>
      <c r="I25" s="856"/>
      <c r="J25" s="856">
        <v>45.125660215823231</v>
      </c>
      <c r="K25" s="856"/>
      <c r="L25" s="856"/>
      <c r="M25" s="856"/>
      <c r="N25" s="857"/>
      <c r="O25" s="860">
        <v>1.96896569042656</v>
      </c>
      <c r="P25" s="850"/>
      <c r="R25" s="389" t="s">
        <v>671</v>
      </c>
    </row>
    <row r="26" spans="3:24" ht="15" thickBot="1" x14ac:dyDescent="0.4">
      <c r="C26" s="728" t="s">
        <v>392</v>
      </c>
      <c r="D26" s="479"/>
      <c r="E26" s="479"/>
      <c r="F26" s="479"/>
      <c r="G26" s="479"/>
      <c r="H26" s="479"/>
      <c r="I26" s="479"/>
      <c r="J26" s="479"/>
      <c r="K26" s="479"/>
      <c r="L26" s="479"/>
      <c r="M26" s="479"/>
      <c r="N26" s="763"/>
      <c r="O26" s="480"/>
      <c r="P26" s="852"/>
      <c r="Q26"/>
      <c r="R26" t="s">
        <v>677</v>
      </c>
      <c r="S26"/>
      <c r="U26"/>
      <c r="W26"/>
      <c r="X26"/>
    </row>
    <row r="27" spans="3:24" ht="15" thickBot="1" x14ac:dyDescent="0.4">
      <c r="E27"/>
      <c r="G27"/>
      <c r="J27"/>
      <c r="L27"/>
      <c r="N27"/>
      <c r="O27"/>
      <c r="Q27"/>
      <c r="S27"/>
      <c r="U27"/>
      <c r="W27"/>
      <c r="X27"/>
    </row>
    <row r="28" spans="3:24" ht="15" thickBot="1" x14ac:dyDescent="0.4">
      <c r="C28" s="795" t="s">
        <v>648</v>
      </c>
      <c r="D28" s="796" t="s">
        <v>243</v>
      </c>
      <c r="E28" s="797" t="s">
        <v>244</v>
      </c>
      <c r="F28" s="796" t="s">
        <v>267</v>
      </c>
      <c r="G28" s="797" t="s">
        <v>629</v>
      </c>
      <c r="H28" s="796" t="s">
        <v>247</v>
      </c>
      <c r="I28" s="797" t="s">
        <v>665</v>
      </c>
      <c r="J28" s="797" t="s">
        <v>231</v>
      </c>
      <c r="K28" s="796" t="s">
        <v>230</v>
      </c>
      <c r="L28" s="798" t="s">
        <v>232</v>
      </c>
      <c r="M28" s="796" t="s">
        <v>631</v>
      </c>
      <c r="N28" s="797" t="s">
        <v>195</v>
      </c>
      <c r="O28" s="799" t="s">
        <v>643</v>
      </c>
      <c r="P28" s="851" t="s">
        <v>655</v>
      </c>
      <c r="Q28"/>
      <c r="R28" t="s">
        <v>676</v>
      </c>
      <c r="S28"/>
      <c r="U28"/>
      <c r="W28"/>
      <c r="X28"/>
    </row>
    <row r="29" spans="3:24" ht="14.55" x14ac:dyDescent="0.35">
      <c r="C29" s="802" t="s">
        <v>390</v>
      </c>
      <c r="D29" s="804">
        <v>234533592.30013341</v>
      </c>
      <c r="E29" s="804">
        <f>SUM(E22*103%)</f>
        <v>203505310.3015143</v>
      </c>
      <c r="F29" s="804">
        <f>SUM(F22*103%)</f>
        <v>101877621.2661649</v>
      </c>
      <c r="G29" s="804">
        <f>SUM(G22*103%)</f>
        <v>2589404.7205293747</v>
      </c>
      <c r="H29" s="804">
        <f>SUM(H22*103%)</f>
        <v>29296519.982456248</v>
      </c>
      <c r="I29" s="804">
        <f>SUM(I22*98.34%)</f>
        <v>30369316.513800003</v>
      </c>
      <c r="J29" s="804">
        <f>SUM(J22*98.34%)</f>
        <v>414011400</v>
      </c>
      <c r="K29" s="804"/>
      <c r="L29" s="804"/>
      <c r="M29" s="804"/>
      <c r="N29" s="804">
        <f>SUM(N22*103%)</f>
        <v>9716712.8508133274</v>
      </c>
      <c r="O29" s="800">
        <f>SUM(D29:N29)</f>
        <v>1025899877.9354115</v>
      </c>
      <c r="P29" s="850">
        <v>955000000</v>
      </c>
      <c r="Q29"/>
      <c r="S29"/>
      <c r="U29"/>
      <c r="W29"/>
      <c r="X29"/>
    </row>
    <row r="30" spans="3:24" ht="14.55" x14ac:dyDescent="0.35">
      <c r="C30" s="803" t="s">
        <v>391</v>
      </c>
      <c r="D30" s="804">
        <v>102420.29312070028</v>
      </c>
      <c r="E30" s="804">
        <f t="shared" ref="E30:N30" si="0">SUM(E23*103%)</f>
        <v>46124.103028210244</v>
      </c>
      <c r="F30" s="804">
        <f t="shared" si="0"/>
        <v>11436.604491247153</v>
      </c>
      <c r="G30" s="804">
        <f t="shared" si="0"/>
        <v>630.14773979761821</v>
      </c>
      <c r="H30" s="804">
        <f t="shared" si="0"/>
        <v>4338.898435278169</v>
      </c>
      <c r="I30" s="804">
        <f>SUM(I23*100.94%)</f>
        <v>4528.1684000000005</v>
      </c>
      <c r="J30" s="804">
        <f>SUM(J23*100.94%)</f>
        <v>106996.40000000001</v>
      </c>
      <c r="K30" s="804"/>
      <c r="L30" s="804"/>
      <c r="M30" s="804"/>
      <c r="N30" s="804">
        <f t="shared" si="0"/>
        <v>9676.8199469939082</v>
      </c>
      <c r="O30" s="801">
        <f>SUM(D30:M30)</f>
        <v>276474.61521523347</v>
      </c>
      <c r="P30" s="850">
        <v>210000</v>
      </c>
      <c r="Q30"/>
      <c r="S30"/>
      <c r="U30"/>
      <c r="W30"/>
      <c r="X30"/>
    </row>
    <row r="31" spans="3:24" s="389" customFormat="1" ht="14.55" x14ac:dyDescent="0.35">
      <c r="C31" s="803" t="s">
        <v>666</v>
      </c>
      <c r="D31" s="854">
        <v>1.0399300026164902</v>
      </c>
      <c r="E31" s="854">
        <v>0.99744867063940057</v>
      </c>
      <c r="F31" s="854">
        <v>0.85736679605696109</v>
      </c>
      <c r="G31" s="854">
        <v>0.16492502607183854</v>
      </c>
      <c r="H31" s="854">
        <v>0.5475738337694982</v>
      </c>
      <c r="I31" s="854"/>
      <c r="J31" s="854">
        <v>1.560895272678964</v>
      </c>
      <c r="K31" s="858"/>
      <c r="L31" s="858"/>
      <c r="M31" s="858"/>
      <c r="N31" s="859"/>
      <c r="O31" s="860">
        <v>1.0445160123653239</v>
      </c>
      <c r="P31" s="850"/>
    </row>
    <row r="32" spans="3:24" s="389" customFormat="1" ht="14.55" x14ac:dyDescent="0.35">
      <c r="C32" s="749" t="s">
        <v>212</v>
      </c>
      <c r="D32" s="854">
        <v>1.2258127343117944</v>
      </c>
      <c r="E32" s="854">
        <v>1.3898367311792492</v>
      </c>
      <c r="F32" s="854">
        <v>1.6231550920232125</v>
      </c>
      <c r="G32" s="854">
        <v>0.19861129562601693</v>
      </c>
      <c r="H32" s="854">
        <v>0.70735004324796169</v>
      </c>
      <c r="I32" s="854"/>
      <c r="J32" s="854">
        <v>45.737269952821997</v>
      </c>
      <c r="K32" s="858"/>
      <c r="L32" s="858"/>
      <c r="M32" s="858"/>
      <c r="N32" s="859"/>
      <c r="O32" s="860">
        <v>1.9826621094997297</v>
      </c>
      <c r="P32" s="850"/>
    </row>
    <row r="33" spans="3:24" ht="15" thickBot="1" x14ac:dyDescent="0.4">
      <c r="C33" s="728" t="s">
        <v>392</v>
      </c>
      <c r="D33" s="805"/>
      <c r="E33" s="805"/>
      <c r="F33" s="805"/>
      <c r="G33" s="805"/>
      <c r="H33" s="805"/>
      <c r="I33" s="805"/>
      <c r="J33" s="805"/>
      <c r="K33" s="805"/>
      <c r="L33" s="805"/>
      <c r="M33" s="805"/>
      <c r="N33" s="805"/>
      <c r="O33" s="853"/>
      <c r="P33" s="852"/>
      <c r="Q33"/>
      <c r="S33"/>
      <c r="U33"/>
      <c r="W33"/>
      <c r="X33"/>
    </row>
    <row r="34" spans="3:24" ht="15" thickBot="1" x14ac:dyDescent="0.4">
      <c r="E34"/>
      <c r="G34"/>
      <c r="J34"/>
      <c r="L34"/>
      <c r="N34"/>
      <c r="O34"/>
      <c r="Q34"/>
      <c r="S34"/>
      <c r="U34"/>
      <c r="W34"/>
      <c r="X34"/>
    </row>
    <row r="35" spans="3:24" ht="15" thickBot="1" x14ac:dyDescent="0.4">
      <c r="C35" s="795" t="s">
        <v>649</v>
      </c>
      <c r="D35" s="796" t="s">
        <v>243</v>
      </c>
      <c r="E35" s="797" t="s">
        <v>244</v>
      </c>
      <c r="F35" s="796" t="s">
        <v>267</v>
      </c>
      <c r="G35" s="797" t="s">
        <v>629</v>
      </c>
      <c r="H35" s="796" t="s">
        <v>247</v>
      </c>
      <c r="I35" s="797" t="s">
        <v>665</v>
      </c>
      <c r="J35" s="797" t="s">
        <v>231</v>
      </c>
      <c r="K35" s="796" t="s">
        <v>230</v>
      </c>
      <c r="L35" s="798" t="s">
        <v>232</v>
      </c>
      <c r="M35" s="796" t="s">
        <v>631</v>
      </c>
      <c r="N35" s="797" t="s">
        <v>195</v>
      </c>
      <c r="O35" s="799" t="s">
        <v>643</v>
      </c>
      <c r="P35" s="819" t="s">
        <v>655</v>
      </c>
      <c r="Q35"/>
      <c r="S35"/>
      <c r="U35"/>
      <c r="W35"/>
      <c r="X35"/>
    </row>
    <row r="36" spans="3:24" ht="14.55" x14ac:dyDescent="0.35">
      <c r="C36" s="802" t="s">
        <v>390</v>
      </c>
      <c r="D36" s="806">
        <v>265185485.60810676</v>
      </c>
      <c r="E36" s="806">
        <f t="shared" ref="E36:N36" si="1">SUM(E29*102%)</f>
        <v>207575416.50754458</v>
      </c>
      <c r="F36" s="806">
        <f t="shared" si="1"/>
        <v>103915173.69148819</v>
      </c>
      <c r="G36" s="806">
        <f t="shared" si="1"/>
        <v>2641192.8149399622</v>
      </c>
      <c r="H36" s="806">
        <f t="shared" si="1"/>
        <v>29882450.382105373</v>
      </c>
      <c r="I36" s="806">
        <f>SUM(I29*94.93%)</f>
        <v>28829592.166550342</v>
      </c>
      <c r="J36" s="806">
        <f>SUM(J29*94.93%)</f>
        <v>393021022.02000004</v>
      </c>
      <c r="K36" s="806"/>
      <c r="L36" s="806"/>
      <c r="M36" s="806"/>
      <c r="N36" s="806">
        <f t="shared" si="1"/>
        <v>9911047.107829595</v>
      </c>
      <c r="O36" s="807">
        <f>SUM(D36:N36)</f>
        <v>1040961380.2985649</v>
      </c>
      <c r="P36" s="817">
        <v>946000000</v>
      </c>
      <c r="Q36"/>
      <c r="S36"/>
      <c r="U36"/>
      <c r="W36"/>
      <c r="X36"/>
    </row>
    <row r="37" spans="3:24" ht="14.55" x14ac:dyDescent="0.35">
      <c r="C37" s="803" t="s">
        <v>391</v>
      </c>
      <c r="D37" s="806">
        <v>115633.65257872413</v>
      </c>
      <c r="E37" s="806">
        <f t="shared" ref="E37:N37" si="2">SUM(E30*102%)</f>
        <v>47046.585088774453</v>
      </c>
      <c r="F37" s="806">
        <f t="shared" si="2"/>
        <v>11665.336581072097</v>
      </c>
      <c r="G37" s="806">
        <f t="shared" si="2"/>
        <v>642.75069459357064</v>
      </c>
      <c r="H37" s="806">
        <f t="shared" si="2"/>
        <v>4425.6764039837326</v>
      </c>
      <c r="I37" s="806">
        <f>SUM(I30*97.2%)</f>
        <v>4401.3796848000002</v>
      </c>
      <c r="J37" s="806">
        <f>SUM(J30*97.2%)</f>
        <v>104000.50080000001</v>
      </c>
      <c r="K37" s="806"/>
      <c r="L37" s="806"/>
      <c r="M37" s="806"/>
      <c r="N37" s="806">
        <f t="shared" si="2"/>
        <v>9870.3563459337856</v>
      </c>
      <c r="O37" s="808">
        <f>SUM(D37:M37)</f>
        <v>287815.88183194795</v>
      </c>
      <c r="P37" s="817">
        <v>211000</v>
      </c>
      <c r="Q37"/>
      <c r="S37"/>
      <c r="U37"/>
      <c r="W37"/>
      <c r="X37"/>
    </row>
    <row r="38" spans="3:24" s="389" customFormat="1" ht="14.55" x14ac:dyDescent="0.35">
      <c r="C38" s="803" t="s">
        <v>666</v>
      </c>
      <c r="D38" s="854">
        <v>1.0488287849268685</v>
      </c>
      <c r="E38" s="854">
        <v>1.0361321426627073</v>
      </c>
      <c r="F38" s="854">
        <v>0.8996342019107354</v>
      </c>
      <c r="G38" s="854">
        <v>0.17306817398695315</v>
      </c>
      <c r="H38" s="854">
        <v>0.57242446224874954</v>
      </c>
      <c r="I38" s="854"/>
      <c r="J38" s="854">
        <v>1.6279708794975767</v>
      </c>
      <c r="K38" s="858"/>
      <c r="L38" s="858"/>
      <c r="M38" s="858"/>
      <c r="N38" s="859"/>
      <c r="O38" s="860">
        <v>1.0785679695384822</v>
      </c>
      <c r="P38" s="850"/>
    </row>
    <row r="39" spans="3:24" s="389" customFormat="1" ht="14.55" x14ac:dyDescent="0.35">
      <c r="C39" s="749" t="s">
        <v>212</v>
      </c>
      <c r="D39" s="854">
        <v>1.2355697840212501</v>
      </c>
      <c r="E39" s="854">
        <v>1.443737961277648</v>
      </c>
      <c r="F39" s="854">
        <v>1.7031751666909554</v>
      </c>
      <c r="G39" s="854">
        <v>0.20841769794358131</v>
      </c>
      <c r="H39" s="854">
        <v>0.73945182029695522</v>
      </c>
      <c r="I39" s="854"/>
      <c r="J39" s="854">
        <v>46.799289431990438</v>
      </c>
      <c r="K39" s="858"/>
      <c r="L39" s="858"/>
      <c r="M39" s="858"/>
      <c r="N39" s="859"/>
      <c r="O39" s="860">
        <v>2.0059524797700199</v>
      </c>
      <c r="P39" s="850"/>
    </row>
    <row r="40" spans="3:24" ht="15" thickBot="1" x14ac:dyDescent="0.4">
      <c r="C40" s="728" t="s">
        <v>392</v>
      </c>
      <c r="D40" s="809"/>
      <c r="E40" s="809"/>
      <c r="F40" s="809"/>
      <c r="G40" s="809"/>
      <c r="H40" s="809"/>
      <c r="I40" s="809"/>
      <c r="J40" s="809"/>
      <c r="K40" s="809"/>
      <c r="L40" s="809"/>
      <c r="M40" s="809"/>
      <c r="N40" s="810"/>
      <c r="O40" s="811"/>
      <c r="P40" s="818"/>
      <c r="Q40"/>
      <c r="S40"/>
      <c r="U40"/>
      <c r="W40"/>
      <c r="X40"/>
    </row>
    <row r="41" spans="3:24" ht="14.55" x14ac:dyDescent="0.35">
      <c r="E41"/>
      <c r="G41"/>
      <c r="J41"/>
      <c r="L41"/>
      <c r="N41"/>
      <c r="O41"/>
      <c r="Q41"/>
      <c r="S41"/>
      <c r="U41"/>
      <c r="W41"/>
      <c r="X41"/>
    </row>
    <row r="42" spans="3:24" ht="15" thickBot="1" x14ac:dyDescent="0.4">
      <c r="E42"/>
      <c r="G42"/>
      <c r="J42"/>
      <c r="L42"/>
      <c r="N42"/>
      <c r="O42"/>
      <c r="Q42"/>
      <c r="S42"/>
      <c r="U42"/>
      <c r="W42"/>
      <c r="X42"/>
    </row>
    <row r="43" spans="3:24" ht="15" thickBot="1" x14ac:dyDescent="0.4">
      <c r="C43" s="795" t="s">
        <v>650</v>
      </c>
      <c r="D43" s="796" t="s">
        <v>243</v>
      </c>
      <c r="E43" s="797" t="s">
        <v>244</v>
      </c>
      <c r="F43" s="796" t="s">
        <v>267</v>
      </c>
      <c r="G43" s="797" t="s">
        <v>629</v>
      </c>
      <c r="H43" s="796" t="s">
        <v>247</v>
      </c>
      <c r="I43" s="797" t="s">
        <v>665</v>
      </c>
      <c r="J43" s="797" t="s">
        <v>231</v>
      </c>
      <c r="K43" s="796" t="s">
        <v>230</v>
      </c>
      <c r="L43" s="798" t="s">
        <v>232</v>
      </c>
      <c r="M43" s="796" t="s">
        <v>631</v>
      </c>
      <c r="N43" s="797" t="s">
        <v>195</v>
      </c>
      <c r="O43" s="799" t="s">
        <v>643</v>
      </c>
      <c r="P43" s="819" t="s">
        <v>655</v>
      </c>
      <c r="Q43"/>
      <c r="S43"/>
      <c r="U43"/>
      <c r="W43"/>
      <c r="X43"/>
    </row>
    <row r="44" spans="3:24" ht="14.55" x14ac:dyDescent="0.35">
      <c r="C44" s="802" t="s">
        <v>390</v>
      </c>
      <c r="D44" s="804">
        <f t="shared" ref="D44:H45" si="3">SUM(D36*98%)</f>
        <v>259881775.89594463</v>
      </c>
      <c r="E44" s="804">
        <f t="shared" si="3"/>
        <v>203423908.17739367</v>
      </c>
      <c r="F44" s="804">
        <f t="shared" si="3"/>
        <v>101836870.21765843</v>
      </c>
      <c r="G44" s="804">
        <f t="shared" si="3"/>
        <v>2588368.9586411631</v>
      </c>
      <c r="H44" s="804">
        <f t="shared" si="3"/>
        <v>29284801.374463264</v>
      </c>
      <c r="I44" s="804">
        <f>SUM(I36*85.75%)</f>
        <v>24721375.28281692</v>
      </c>
      <c r="J44" s="804">
        <f>SUM(J36*85.75%)</f>
        <v>337015526.38215005</v>
      </c>
      <c r="K44" s="804"/>
      <c r="L44" s="804"/>
      <c r="M44" s="804"/>
      <c r="N44" s="804">
        <f>SUM(N36*98%)</f>
        <v>9712826.1656730026</v>
      </c>
      <c r="O44" s="815">
        <f>SUM(D44:N44)</f>
        <v>968465452.45474112</v>
      </c>
      <c r="P44" s="817">
        <v>879000000</v>
      </c>
      <c r="Q44"/>
      <c r="S44"/>
      <c r="U44"/>
      <c r="W44"/>
      <c r="X44"/>
    </row>
    <row r="45" spans="3:24" ht="14.55" x14ac:dyDescent="0.35">
      <c r="C45" s="803" t="s">
        <v>391</v>
      </c>
      <c r="D45" s="804">
        <f t="shared" si="3"/>
        <v>113320.97952714964</v>
      </c>
      <c r="E45" s="804">
        <f t="shared" si="3"/>
        <v>46105.653386998965</v>
      </c>
      <c r="F45" s="804">
        <f t="shared" si="3"/>
        <v>11432.029849450655</v>
      </c>
      <c r="G45" s="804">
        <f t="shared" si="3"/>
        <v>629.89568070169923</v>
      </c>
      <c r="H45" s="804">
        <f t="shared" si="3"/>
        <v>4337.1628759040577</v>
      </c>
      <c r="I45" s="804">
        <f>SUM(I37*93.27%)</f>
        <v>4105.1668320129602</v>
      </c>
      <c r="J45" s="804">
        <f>SUM(J37*93.27%)</f>
        <v>97001.267096160009</v>
      </c>
      <c r="K45" s="804"/>
      <c r="L45" s="804"/>
      <c r="M45" s="804"/>
      <c r="N45" s="804">
        <f>SUM(N37*98%)</f>
        <v>9672.9492190151104</v>
      </c>
      <c r="O45" s="816">
        <f>SUM(D45:M45)</f>
        <v>276932.15524837805</v>
      </c>
      <c r="P45" s="817">
        <v>201000</v>
      </c>
      <c r="Q45"/>
      <c r="S45"/>
      <c r="U45"/>
      <c r="W45"/>
      <c r="X45"/>
    </row>
    <row r="46" spans="3:24" ht="15" thickBot="1" x14ac:dyDescent="0.4">
      <c r="C46" s="728" t="s">
        <v>392</v>
      </c>
      <c r="D46" s="812"/>
      <c r="E46" s="812"/>
      <c r="F46" s="812"/>
      <c r="G46" s="812"/>
      <c r="H46" s="812"/>
      <c r="I46" s="812"/>
      <c r="J46" s="812"/>
      <c r="K46" s="812"/>
      <c r="L46" s="812"/>
      <c r="M46" s="812"/>
      <c r="N46" s="813"/>
      <c r="O46" s="814"/>
      <c r="P46" s="818"/>
      <c r="Q46"/>
      <c r="S46"/>
      <c r="U46"/>
      <c r="W46"/>
      <c r="X46"/>
    </row>
    <row r="47" spans="3:24" ht="14.55" x14ac:dyDescent="0.35">
      <c r="E47"/>
      <c r="G47"/>
      <c r="J47"/>
      <c r="L47"/>
      <c r="N47"/>
      <c r="O47"/>
      <c r="Q47"/>
      <c r="S47"/>
      <c r="U47"/>
      <c r="W47"/>
      <c r="X47"/>
    </row>
    <row r="48" spans="3:24" ht="15" thickBot="1" x14ac:dyDescent="0.4">
      <c r="E48"/>
      <c r="G48"/>
      <c r="J48"/>
      <c r="L48"/>
      <c r="N48"/>
      <c r="O48"/>
      <c r="Q48"/>
      <c r="S48"/>
      <c r="U48"/>
      <c r="W48"/>
      <c r="X48"/>
    </row>
    <row r="49" spans="3:24" ht="15" thickBot="1" x14ac:dyDescent="0.4">
      <c r="C49" s="795" t="s">
        <v>651</v>
      </c>
      <c r="D49" s="796" t="s">
        <v>243</v>
      </c>
      <c r="E49" s="797" t="s">
        <v>244</v>
      </c>
      <c r="F49" s="796" t="s">
        <v>267</v>
      </c>
      <c r="G49" s="797" t="s">
        <v>629</v>
      </c>
      <c r="H49" s="796" t="s">
        <v>247</v>
      </c>
      <c r="I49" s="797" t="s">
        <v>665</v>
      </c>
      <c r="J49" s="797" t="s">
        <v>231</v>
      </c>
      <c r="K49" s="796" t="s">
        <v>230</v>
      </c>
      <c r="L49" s="798" t="s">
        <v>232</v>
      </c>
      <c r="M49" s="796" t="s">
        <v>631</v>
      </c>
      <c r="N49" s="797" t="s">
        <v>195</v>
      </c>
      <c r="O49" s="799" t="s">
        <v>643</v>
      </c>
      <c r="P49" s="819" t="s">
        <v>655</v>
      </c>
      <c r="Q49"/>
      <c r="S49"/>
      <c r="U49"/>
      <c r="W49"/>
      <c r="X49"/>
    </row>
    <row r="50" spans="3:24" ht="14.55" x14ac:dyDescent="0.35">
      <c r="C50" s="802" t="s">
        <v>390</v>
      </c>
      <c r="D50" s="806">
        <f>SUM(D44*103%)</f>
        <v>267678229.17282298</v>
      </c>
      <c r="E50" s="806">
        <f t="shared" ref="E50:N50" si="4">SUM(E44*103%)</f>
        <v>209526625.42271549</v>
      </c>
      <c r="F50" s="806">
        <f t="shared" si="4"/>
        <v>104891976.32418819</v>
      </c>
      <c r="G50" s="806">
        <f t="shared" si="4"/>
        <v>2666020.0274003982</v>
      </c>
      <c r="H50" s="806">
        <f t="shared" si="4"/>
        <v>30163345.415697161</v>
      </c>
      <c r="I50" s="806">
        <f>SUM(I44*90.21%)</f>
        <v>22301152.642629143</v>
      </c>
      <c r="J50" s="806">
        <f>SUM(J44*90.21%)</f>
        <v>304021706.34933752</v>
      </c>
      <c r="K50" s="806"/>
      <c r="L50" s="806"/>
      <c r="M50" s="806"/>
      <c r="N50" s="806">
        <f t="shared" si="4"/>
        <v>10004210.950643193</v>
      </c>
      <c r="O50" s="807">
        <f>SUM(D50:N50)</f>
        <v>951253266.30543411</v>
      </c>
      <c r="P50" s="817">
        <v>863000000</v>
      </c>
      <c r="Q50"/>
      <c r="S50"/>
      <c r="U50"/>
      <c r="W50"/>
      <c r="X50"/>
    </row>
    <row r="51" spans="3:24" ht="14.55" x14ac:dyDescent="0.35">
      <c r="C51" s="803" t="s">
        <v>391</v>
      </c>
      <c r="D51" s="806">
        <f>SUM(D45*103%)</f>
        <v>116720.60891296413</v>
      </c>
      <c r="E51" s="806">
        <f t="shared" ref="E51:N51" si="5">SUM(E45*103%)</f>
        <v>47488.822988608932</v>
      </c>
      <c r="F51" s="806">
        <f t="shared" si="5"/>
        <v>11774.990744934175</v>
      </c>
      <c r="G51" s="806">
        <f t="shared" si="5"/>
        <v>648.79255112275018</v>
      </c>
      <c r="H51" s="806">
        <f t="shared" si="5"/>
        <v>4467.2777621811792</v>
      </c>
      <c r="I51" s="806">
        <f>SUM(I45*94.85%)</f>
        <v>3893.7507401642924</v>
      </c>
      <c r="J51" s="806">
        <f>SUM(J45*94.85%)</f>
        <v>92005.701840707756</v>
      </c>
      <c r="K51" s="806"/>
      <c r="L51" s="806"/>
      <c r="M51" s="806"/>
      <c r="N51" s="806">
        <f t="shared" si="5"/>
        <v>9963.1376955855649</v>
      </c>
      <c r="O51" s="808">
        <f>SUM(D51:M51)</f>
        <v>276999.94554068323</v>
      </c>
      <c r="P51" s="817">
        <v>201000</v>
      </c>
      <c r="Q51"/>
      <c r="S51"/>
      <c r="U51"/>
      <c r="W51"/>
      <c r="X51"/>
    </row>
    <row r="52" spans="3:24" ht="15" thickBot="1" x14ac:dyDescent="0.4">
      <c r="C52" s="728" t="s">
        <v>392</v>
      </c>
      <c r="D52" s="809"/>
      <c r="E52" s="809"/>
      <c r="F52" s="809"/>
      <c r="G52" s="809"/>
      <c r="H52" s="809"/>
      <c r="I52" s="809"/>
      <c r="J52" s="809"/>
      <c r="K52" s="809"/>
      <c r="L52" s="809"/>
      <c r="M52" s="809"/>
      <c r="N52" s="810"/>
      <c r="O52" s="811"/>
      <c r="P52" s="818"/>
      <c r="Q52"/>
      <c r="S52"/>
      <c r="U52"/>
      <c r="W52"/>
      <c r="X52"/>
    </row>
    <row r="53" spans="3:24" x14ac:dyDescent="0.3">
      <c r="E53" t="s">
        <v>647</v>
      </c>
      <c r="G53"/>
      <c r="J53"/>
      <c r="L53"/>
      <c r="N53"/>
      <c r="O53"/>
      <c r="Q53"/>
      <c r="S53"/>
      <c r="U53"/>
      <c r="W53"/>
      <c r="X53"/>
    </row>
    <row r="54" spans="3:24" ht="15" thickBot="1" x14ac:dyDescent="0.35">
      <c r="E54"/>
      <c r="G54"/>
      <c r="J54"/>
      <c r="L54"/>
      <c r="N54"/>
      <c r="O54"/>
      <c r="Q54"/>
      <c r="S54"/>
      <c r="U54"/>
      <c r="W54"/>
      <c r="X54"/>
    </row>
    <row r="55" spans="3:24" ht="15" thickBot="1" x14ac:dyDescent="0.35">
      <c r="C55" s="795" t="s">
        <v>652</v>
      </c>
      <c r="D55" s="796" t="s">
        <v>243</v>
      </c>
      <c r="E55" s="797" t="s">
        <v>244</v>
      </c>
      <c r="F55" s="796" t="s">
        <v>267</v>
      </c>
      <c r="G55" s="797" t="s">
        <v>629</v>
      </c>
      <c r="H55" s="796" t="s">
        <v>247</v>
      </c>
      <c r="I55" s="797" t="s">
        <v>665</v>
      </c>
      <c r="J55" s="797" t="s">
        <v>231</v>
      </c>
      <c r="K55" s="796" t="s">
        <v>230</v>
      </c>
      <c r="L55" s="798" t="s">
        <v>232</v>
      </c>
      <c r="M55" s="796" t="s">
        <v>631</v>
      </c>
      <c r="N55" s="797" t="s">
        <v>195</v>
      </c>
      <c r="O55" s="799" t="s">
        <v>643</v>
      </c>
      <c r="P55" s="819" t="s">
        <v>655</v>
      </c>
      <c r="Q55"/>
      <c r="S55"/>
      <c r="U55"/>
      <c r="W55"/>
      <c r="X55"/>
    </row>
    <row r="56" spans="3:24" x14ac:dyDescent="0.3">
      <c r="C56" s="802" t="s">
        <v>390</v>
      </c>
      <c r="D56" s="806">
        <f>SUM(D50*103%)</f>
        <v>275708576.04800767</v>
      </c>
      <c r="E56" s="806">
        <f t="shared" ref="E56:N56" si="6">SUM(E50*103%)</f>
        <v>215812424.18539697</v>
      </c>
      <c r="F56" s="806">
        <f t="shared" si="6"/>
        <v>108038735.61391383</v>
      </c>
      <c r="G56" s="806">
        <f t="shared" si="6"/>
        <v>2746000.6282224101</v>
      </c>
      <c r="H56" s="806">
        <f t="shared" si="6"/>
        <v>31068245.778168079</v>
      </c>
      <c r="I56" s="806">
        <f>SUM(I50*86.18%)</f>
        <v>19219133.347417798</v>
      </c>
      <c r="J56" s="806">
        <f>SUM(J50*86.18%)</f>
        <v>262005906.5318591</v>
      </c>
      <c r="K56" s="806"/>
      <c r="L56" s="806"/>
      <c r="M56" s="806"/>
      <c r="N56" s="806">
        <f t="shared" si="6"/>
        <v>10304337.279162489</v>
      </c>
      <c r="O56" s="807">
        <f>SUM(D56:N56)</f>
        <v>924903359.41214836</v>
      </c>
      <c r="P56" s="817">
        <v>835000000</v>
      </c>
      <c r="Q56"/>
      <c r="S56"/>
      <c r="U56"/>
      <c r="W56"/>
      <c r="X56"/>
    </row>
    <row r="57" spans="3:24" x14ac:dyDescent="0.3">
      <c r="C57" s="803" t="s">
        <v>391</v>
      </c>
      <c r="D57" s="806">
        <f>SUM(D51*103%)</f>
        <v>120222.22718035306</v>
      </c>
      <c r="E57" s="806">
        <f t="shared" ref="E57:N57" si="7">SUM(E51*103%)</f>
        <v>48913.4876782672</v>
      </c>
      <c r="F57" s="806">
        <f t="shared" si="7"/>
        <v>12128.240467282201</v>
      </c>
      <c r="G57" s="806">
        <f t="shared" si="7"/>
        <v>668.25632765643275</v>
      </c>
      <c r="H57" s="806">
        <f t="shared" si="7"/>
        <v>4601.2960950466149</v>
      </c>
      <c r="I57" s="806">
        <f>SUM(I51*94.57%)</f>
        <v>3682.3200749733714</v>
      </c>
      <c r="J57" s="806">
        <f>SUM(J51*94.57%)</f>
        <v>87009.792230757317</v>
      </c>
      <c r="K57" s="806"/>
      <c r="L57" s="806"/>
      <c r="M57" s="806"/>
      <c r="N57" s="806">
        <f t="shared" si="7"/>
        <v>10262.031826453132</v>
      </c>
      <c r="O57" s="808">
        <f>SUM(D57:M57)</f>
        <v>277225.62005433621</v>
      </c>
      <c r="P57" s="817">
        <v>200000</v>
      </c>
      <c r="Q57"/>
      <c r="S57"/>
      <c r="U57"/>
      <c r="W57"/>
      <c r="X57"/>
    </row>
    <row r="58" spans="3:24" ht="15" thickBot="1" x14ac:dyDescent="0.35">
      <c r="C58" s="728" t="s">
        <v>392</v>
      </c>
      <c r="D58" s="809"/>
      <c r="E58" s="809"/>
      <c r="F58" s="809"/>
      <c r="G58" s="809"/>
      <c r="H58" s="809"/>
      <c r="I58" s="809"/>
      <c r="J58" s="809"/>
      <c r="K58" s="809"/>
      <c r="L58" s="809"/>
      <c r="M58" s="809"/>
      <c r="N58" s="810"/>
      <c r="O58" s="811"/>
      <c r="P58" s="818"/>
      <c r="Q58"/>
      <c r="S58"/>
      <c r="U58"/>
      <c r="W58"/>
      <c r="X58"/>
    </row>
    <row r="59" spans="3:24" x14ac:dyDescent="0.3">
      <c r="E59"/>
      <c r="G59"/>
      <c r="J59"/>
      <c r="L59"/>
      <c r="N59"/>
      <c r="O59"/>
      <c r="Q59"/>
      <c r="S59"/>
      <c r="U59"/>
      <c r="W59"/>
      <c r="X59"/>
    </row>
    <row r="60" spans="3:24" ht="15" thickBot="1" x14ac:dyDescent="0.35">
      <c r="E60"/>
      <c r="G60"/>
      <c r="J60"/>
      <c r="L60"/>
      <c r="N60"/>
      <c r="O60"/>
      <c r="Q60"/>
      <c r="S60"/>
      <c r="U60"/>
      <c r="W60"/>
      <c r="X60"/>
    </row>
    <row r="61" spans="3:24" ht="15" thickBot="1" x14ac:dyDescent="0.35">
      <c r="C61" s="795" t="s">
        <v>653</v>
      </c>
      <c r="D61" s="796" t="s">
        <v>243</v>
      </c>
      <c r="E61" s="797" t="s">
        <v>244</v>
      </c>
      <c r="F61" s="796" t="s">
        <v>267</v>
      </c>
      <c r="G61" s="797" t="s">
        <v>629</v>
      </c>
      <c r="H61" s="796" t="s">
        <v>247</v>
      </c>
      <c r="I61" s="797" t="s">
        <v>665</v>
      </c>
      <c r="J61" s="797" t="s">
        <v>231</v>
      </c>
      <c r="K61" s="796" t="s">
        <v>230</v>
      </c>
      <c r="L61" s="798" t="s">
        <v>232</v>
      </c>
      <c r="M61" s="796" t="s">
        <v>631</v>
      </c>
      <c r="N61" s="797" t="s">
        <v>195</v>
      </c>
      <c r="O61" s="799" t="s">
        <v>643</v>
      </c>
      <c r="P61" s="819" t="s">
        <v>655</v>
      </c>
      <c r="Q61"/>
      <c r="S61"/>
      <c r="U61"/>
      <c r="W61"/>
      <c r="X61"/>
    </row>
    <row r="62" spans="3:24" x14ac:dyDescent="0.3">
      <c r="C62" s="802" t="s">
        <v>390</v>
      </c>
      <c r="D62" s="806">
        <f>SUM(D56*103%)</f>
        <v>283979833.32944793</v>
      </c>
      <c r="E62" s="806">
        <f t="shared" ref="E62:N62" si="8">SUM(E56*103%)</f>
        <v>222286796.91095889</v>
      </c>
      <c r="F62" s="806">
        <f t="shared" si="8"/>
        <v>111279897.68233125</v>
      </c>
      <c r="G62" s="806">
        <f t="shared" si="8"/>
        <v>2828380.6470690826</v>
      </c>
      <c r="H62" s="806">
        <f t="shared" si="8"/>
        <v>32000293.151513122</v>
      </c>
      <c r="I62" s="806">
        <f>SUM(I56*94.27%)</f>
        <v>18117877.006610759</v>
      </c>
      <c r="J62" s="806">
        <f>SUM(J56*94.27%)</f>
        <v>246992968.08758357</v>
      </c>
      <c r="K62" s="806"/>
      <c r="L62" s="806"/>
      <c r="M62" s="806"/>
      <c r="N62" s="806">
        <f t="shared" si="8"/>
        <v>10613467.397537364</v>
      </c>
      <c r="O62" s="807">
        <f>SUM(D62:N62)</f>
        <v>928099514.21305192</v>
      </c>
      <c r="P62" s="817">
        <v>840000000</v>
      </c>
      <c r="Q62"/>
      <c r="S62"/>
      <c r="U62"/>
      <c r="W62"/>
      <c r="X62"/>
    </row>
    <row r="63" spans="3:24" x14ac:dyDescent="0.3">
      <c r="C63" s="803" t="s">
        <v>391</v>
      </c>
      <c r="D63" s="806">
        <f>SUM(D57*103%)</f>
        <v>123828.89399576366</v>
      </c>
      <c r="E63" s="806">
        <f t="shared" ref="E63:N63" si="9">SUM(E57*103%)</f>
        <v>50380.892308615221</v>
      </c>
      <c r="F63" s="806">
        <f t="shared" si="9"/>
        <v>12492.087681300667</v>
      </c>
      <c r="G63" s="806">
        <f t="shared" si="9"/>
        <v>688.30401748612576</v>
      </c>
      <c r="H63" s="806">
        <f t="shared" si="9"/>
        <v>4739.3349778980137</v>
      </c>
      <c r="I63" s="806">
        <f>SUM(I57*96.55%)</f>
        <v>3555.28003238679</v>
      </c>
      <c r="J63" s="806">
        <f>SUM(J57*96.55%)</f>
        <v>84007.954398796195</v>
      </c>
      <c r="K63" s="806"/>
      <c r="L63" s="806"/>
      <c r="M63" s="806"/>
      <c r="N63" s="806">
        <f t="shared" si="9"/>
        <v>10569.892781246726</v>
      </c>
      <c r="O63" s="808">
        <f>SUM(D63:M63)</f>
        <v>279692.74741224671</v>
      </c>
      <c r="P63" s="817">
        <v>203000</v>
      </c>
      <c r="Q63"/>
      <c r="S63"/>
      <c r="U63"/>
      <c r="W63"/>
      <c r="X63"/>
    </row>
    <row r="64" spans="3:24" ht="15" thickBot="1" x14ac:dyDescent="0.35">
      <c r="C64" s="728" t="s">
        <v>392</v>
      </c>
      <c r="D64" s="809"/>
      <c r="E64" s="809"/>
      <c r="F64" s="809"/>
      <c r="G64" s="809"/>
      <c r="H64" s="809"/>
      <c r="I64" s="809"/>
      <c r="J64" s="809"/>
      <c r="K64" s="809"/>
      <c r="L64" s="809"/>
      <c r="M64" s="809"/>
      <c r="N64" s="810"/>
      <c r="O64" s="811"/>
      <c r="P64" s="818"/>
      <c r="Q64"/>
      <c r="S64"/>
      <c r="U64"/>
      <c r="W64"/>
      <c r="X64"/>
    </row>
    <row r="65" spans="3:24" x14ac:dyDescent="0.3">
      <c r="E65"/>
      <c r="G65"/>
      <c r="J65"/>
      <c r="L65"/>
      <c r="N65"/>
      <c r="O65"/>
      <c r="Q65"/>
      <c r="S65"/>
      <c r="U65"/>
      <c r="W65"/>
      <c r="X65"/>
    </row>
    <row r="66" spans="3:24" ht="15" thickBot="1" x14ac:dyDescent="0.35">
      <c r="E66"/>
      <c r="G66"/>
      <c r="J66"/>
      <c r="L66"/>
      <c r="N66"/>
      <c r="O66"/>
      <c r="Q66"/>
      <c r="S66"/>
      <c r="U66"/>
      <c r="W66"/>
      <c r="X66"/>
    </row>
    <row r="67" spans="3:24" ht="15" thickBot="1" x14ac:dyDescent="0.35">
      <c r="C67" s="795" t="s">
        <v>654</v>
      </c>
      <c r="D67" s="796" t="s">
        <v>243</v>
      </c>
      <c r="E67" s="797" t="s">
        <v>244</v>
      </c>
      <c r="F67" s="796" t="s">
        <v>267</v>
      </c>
      <c r="G67" s="797" t="s">
        <v>629</v>
      </c>
      <c r="H67" s="796" t="s">
        <v>247</v>
      </c>
      <c r="I67" s="797" t="s">
        <v>665</v>
      </c>
      <c r="J67" s="797" t="s">
        <v>231</v>
      </c>
      <c r="K67" s="796" t="s">
        <v>230</v>
      </c>
      <c r="L67" s="798" t="s">
        <v>232</v>
      </c>
      <c r="M67" s="796" t="s">
        <v>631</v>
      </c>
      <c r="N67" s="797" t="s">
        <v>195</v>
      </c>
      <c r="O67" s="799" t="s">
        <v>643</v>
      </c>
      <c r="P67" s="819" t="s">
        <v>655</v>
      </c>
      <c r="Q67"/>
      <c r="S67"/>
      <c r="U67"/>
      <c r="W67"/>
      <c r="X67"/>
    </row>
    <row r="68" spans="3:24" x14ac:dyDescent="0.3">
      <c r="C68" s="802" t="s">
        <v>390</v>
      </c>
      <c r="D68" s="806">
        <f>SUM(D62*103%)</f>
        <v>292499228.3293314</v>
      </c>
      <c r="E68" s="806">
        <f t="shared" ref="E68:N68" si="10">SUM(E62*103%)</f>
        <v>228955400.81828767</v>
      </c>
      <c r="F68" s="806">
        <f t="shared" si="10"/>
        <v>114618294.61280119</v>
      </c>
      <c r="G68" s="806">
        <f t="shared" si="10"/>
        <v>2913232.0664811553</v>
      </c>
      <c r="H68" s="806">
        <f t="shared" si="10"/>
        <v>32960301.946058515</v>
      </c>
      <c r="I68" s="806">
        <f t="shared" ref="I68" si="11">SUM(I62*103%)</f>
        <v>18661413.316809081</v>
      </c>
      <c r="J68" s="806">
        <f t="shared" si="10"/>
        <v>254402757.13021109</v>
      </c>
      <c r="K68" s="806"/>
      <c r="L68" s="806"/>
      <c r="M68" s="806"/>
      <c r="N68" s="806">
        <f t="shared" si="10"/>
        <v>10931871.419463485</v>
      </c>
      <c r="O68" s="807">
        <f>SUM(D68:N68)</f>
        <v>955942499.63944364</v>
      </c>
      <c r="P68" s="817"/>
      <c r="Q68"/>
      <c r="S68"/>
      <c r="U68"/>
      <c r="W68"/>
      <c r="X68"/>
    </row>
    <row r="69" spans="3:24" x14ac:dyDescent="0.3">
      <c r="C69" s="803" t="s">
        <v>391</v>
      </c>
      <c r="D69" s="806">
        <f>SUM(D63*103%)</f>
        <v>127543.76081563657</v>
      </c>
      <c r="E69" s="806">
        <f t="shared" ref="E69:N69" si="12">SUM(E63*103%)</f>
        <v>51892.319077873675</v>
      </c>
      <c r="F69" s="806">
        <f t="shared" si="12"/>
        <v>12866.850311739687</v>
      </c>
      <c r="G69" s="806">
        <f t="shared" si="12"/>
        <v>708.95313801070949</v>
      </c>
      <c r="H69" s="806">
        <f t="shared" si="12"/>
        <v>4881.5150272349538</v>
      </c>
      <c r="I69" s="806">
        <f t="shared" ref="I69" si="13">SUM(I63*103%)</f>
        <v>3661.9384333583939</v>
      </c>
      <c r="J69" s="806">
        <f t="shared" si="12"/>
        <v>86528.193030760085</v>
      </c>
      <c r="K69" s="806"/>
      <c r="L69" s="806"/>
      <c r="M69" s="806"/>
      <c r="N69" s="806">
        <f t="shared" si="12"/>
        <v>10886.989564684129</v>
      </c>
      <c r="O69" s="808">
        <f>SUM(D69:M69)</f>
        <v>288083.52983461408</v>
      </c>
      <c r="P69" s="817"/>
      <c r="Q69"/>
      <c r="S69"/>
      <c r="U69"/>
      <c r="W69"/>
      <c r="X69"/>
    </row>
    <row r="70" spans="3:24" ht="15" thickBot="1" x14ac:dyDescent="0.35">
      <c r="C70" s="728" t="s">
        <v>392</v>
      </c>
      <c r="D70" s="809"/>
      <c r="E70" s="809"/>
      <c r="F70" s="809"/>
      <c r="G70" s="809"/>
      <c r="H70" s="809"/>
      <c r="I70" s="809"/>
      <c r="J70" s="809"/>
      <c r="K70" s="809"/>
      <c r="L70" s="809"/>
      <c r="M70" s="809"/>
      <c r="N70" s="810"/>
      <c r="O70" s="811"/>
      <c r="P70" s="818"/>
      <c r="Q70"/>
      <c r="S70"/>
      <c r="U70"/>
      <c r="W70"/>
      <c r="X70"/>
    </row>
    <row r="71" spans="3:24" x14ac:dyDescent="0.3">
      <c r="E71"/>
      <c r="G71"/>
      <c r="J71"/>
      <c r="L71"/>
      <c r="N71"/>
      <c r="O71"/>
      <c r="Q71"/>
      <c r="S71"/>
      <c r="U71"/>
      <c r="W71"/>
      <c r="X71"/>
    </row>
    <row r="72" spans="3:24" x14ac:dyDescent="0.3">
      <c r="E72"/>
      <c r="G72"/>
      <c r="J72"/>
      <c r="L72"/>
      <c r="N72"/>
      <c r="O72"/>
      <c r="Q72"/>
      <c r="S72"/>
      <c r="U72"/>
      <c r="W72"/>
      <c r="X72"/>
    </row>
    <row r="73" spans="3:24" ht="14.55" customHeight="1" x14ac:dyDescent="0.3">
      <c r="C73" s="270"/>
      <c r="D73" s="252"/>
      <c r="E73" s="820" t="s">
        <v>299</v>
      </c>
      <c r="F73" s="820"/>
      <c r="G73" s="820"/>
      <c r="H73" s="820"/>
      <c r="I73" s="820"/>
      <c r="J73" s="820"/>
      <c r="K73" s="820"/>
      <c r="L73"/>
      <c r="N73"/>
      <c r="O73"/>
      <c r="Q73"/>
      <c r="S73"/>
      <c r="U73"/>
      <c r="W73"/>
      <c r="X73"/>
    </row>
    <row r="74" spans="3:24" ht="15" thickBot="1" x14ac:dyDescent="0.35">
      <c r="C74" s="261"/>
      <c r="D74" s="391"/>
      <c r="E74" s="821">
        <f>E77/D77</f>
        <v>1.0265151515151516</v>
      </c>
      <c r="F74" s="821">
        <f t="shared" ref="F74:K74" si="14">F77/E77</f>
        <v>1.0202952029520296</v>
      </c>
      <c r="G74" s="821">
        <f t="shared" si="14"/>
        <v>0.98010849909584086</v>
      </c>
      <c r="H74" s="821">
        <f t="shared" si="14"/>
        <v>1.0313653136531364</v>
      </c>
      <c r="I74" s="821"/>
      <c r="J74" s="821">
        <f>J77/H77</f>
        <v>1.0250447227191413</v>
      </c>
      <c r="K74" s="821">
        <f t="shared" si="14"/>
        <v>1.0349040139616057</v>
      </c>
      <c r="L74"/>
      <c r="N74"/>
      <c r="O74"/>
      <c r="Q74"/>
      <c r="S74"/>
      <c r="U74"/>
      <c r="W74"/>
      <c r="X74"/>
    </row>
    <row r="75" spans="3:24" ht="14.55" customHeight="1" x14ac:dyDescent="0.3">
      <c r="C75" s="862" t="s">
        <v>271</v>
      </c>
      <c r="D75" s="864" t="s">
        <v>272</v>
      </c>
      <c r="E75" s="864"/>
      <c r="F75" s="864"/>
      <c r="G75" s="864"/>
      <c r="H75" s="864"/>
      <c r="I75" s="864"/>
      <c r="J75" s="864"/>
      <c r="K75" s="865"/>
      <c r="L75"/>
      <c r="N75"/>
      <c r="O75"/>
      <c r="Q75"/>
      <c r="S75"/>
      <c r="U75"/>
      <c r="W75"/>
      <c r="X75"/>
    </row>
    <row r="76" spans="3:24" ht="15" thickBot="1" x14ac:dyDescent="0.35">
      <c r="C76" s="863"/>
      <c r="D76" s="271">
        <v>2018</v>
      </c>
      <c r="E76" s="271">
        <v>2019</v>
      </c>
      <c r="F76" s="271">
        <v>2020</v>
      </c>
      <c r="G76" s="271">
        <v>2021</v>
      </c>
      <c r="H76" s="271">
        <v>2022</v>
      </c>
      <c r="I76" s="271"/>
      <c r="J76" s="271">
        <v>2023</v>
      </c>
      <c r="K76" s="272">
        <v>2024</v>
      </c>
      <c r="L76"/>
      <c r="N76"/>
      <c r="O76"/>
      <c r="Q76"/>
      <c r="S76"/>
      <c r="U76"/>
      <c r="W76"/>
      <c r="X76"/>
    </row>
    <row r="77" spans="3:24" x14ac:dyDescent="0.3">
      <c r="C77" s="273" t="s">
        <v>273</v>
      </c>
      <c r="D77" s="274">
        <v>528</v>
      </c>
      <c r="E77" s="274">
        <v>542</v>
      </c>
      <c r="F77" s="274">
        <v>553</v>
      </c>
      <c r="G77" s="274">
        <v>542</v>
      </c>
      <c r="H77" s="274">
        <v>559</v>
      </c>
      <c r="I77" s="274"/>
      <c r="J77" s="274">
        <v>573</v>
      </c>
      <c r="K77" s="275">
        <v>593</v>
      </c>
      <c r="L77"/>
      <c r="N77"/>
      <c r="O77"/>
      <c r="Q77"/>
      <c r="S77"/>
      <c r="U77"/>
      <c r="W77"/>
      <c r="X77"/>
    </row>
    <row r="78" spans="3:24" ht="15" thickBot="1" x14ac:dyDescent="0.35">
      <c r="C78" s="277" t="s">
        <v>274</v>
      </c>
      <c r="D78" s="278">
        <v>99</v>
      </c>
      <c r="E78" s="278">
        <v>103</v>
      </c>
      <c r="F78" s="278">
        <v>107</v>
      </c>
      <c r="G78" s="278">
        <v>103</v>
      </c>
      <c r="H78" s="278">
        <v>109</v>
      </c>
      <c r="I78" s="278"/>
      <c r="J78" s="278">
        <v>113</v>
      </c>
      <c r="K78" s="279">
        <v>119</v>
      </c>
      <c r="L78"/>
      <c r="N78"/>
      <c r="O78"/>
      <c r="Q78"/>
      <c r="S78"/>
      <c r="U78"/>
      <c r="W78"/>
      <c r="X78"/>
    </row>
    <row r="79" spans="3:24" s="389" customFormat="1" x14ac:dyDescent="0.3">
      <c r="C79" s="270"/>
      <c r="D79" s="274"/>
      <c r="E79" s="274"/>
      <c r="F79" s="274"/>
      <c r="G79" s="274"/>
      <c r="H79" s="274"/>
      <c r="I79" s="274"/>
      <c r="J79" s="274"/>
      <c r="K79" s="274"/>
    </row>
    <row r="80" spans="3:24" s="389" customFormat="1" x14ac:dyDescent="0.3">
      <c r="C80" s="270"/>
      <c r="D80" s="274"/>
      <c r="E80" s="820" t="s">
        <v>299</v>
      </c>
      <c r="F80" s="820"/>
      <c r="G80" s="820"/>
      <c r="H80" s="820"/>
      <c r="I80" s="820"/>
      <c r="J80" s="820"/>
      <c r="K80" s="820"/>
    </row>
    <row r="81" spans="3:24" ht="15" thickBot="1" x14ac:dyDescent="0.35">
      <c r="C81" s="261"/>
      <c r="D81" s="824">
        <v>0.63787878787878793</v>
      </c>
      <c r="E81" s="824">
        <v>0.98337292161520184</v>
      </c>
      <c r="F81" s="824">
        <v>0.94927536231884058</v>
      </c>
      <c r="G81" s="824">
        <v>0.85750636132315516</v>
      </c>
      <c r="H81" s="824">
        <v>0.90207715133531152</v>
      </c>
      <c r="I81" s="824"/>
      <c r="J81" s="824">
        <v>0.86184210526315785</v>
      </c>
      <c r="K81" s="824">
        <v>0.9427480916030534</v>
      </c>
      <c r="L81"/>
      <c r="N81"/>
      <c r="O81"/>
      <c r="Q81"/>
      <c r="S81"/>
      <c r="U81"/>
      <c r="W81"/>
      <c r="X81"/>
    </row>
    <row r="82" spans="3:24" ht="14.55" customHeight="1" x14ac:dyDescent="0.3">
      <c r="C82" s="862" t="s">
        <v>275</v>
      </c>
      <c r="D82" s="864" t="s">
        <v>272</v>
      </c>
      <c r="E82" s="864"/>
      <c r="F82" s="864"/>
      <c r="G82" s="864"/>
      <c r="H82" s="864"/>
      <c r="I82" s="864"/>
      <c r="J82" s="864"/>
      <c r="K82" s="865"/>
      <c r="L82"/>
      <c r="M82" s="864" t="s">
        <v>272</v>
      </c>
      <c r="N82" s="864"/>
      <c r="O82" s="864"/>
      <c r="P82" s="864"/>
      <c r="Q82" s="864"/>
      <c r="R82" s="864"/>
      <c r="S82" s="865"/>
      <c r="U82"/>
      <c r="W82"/>
      <c r="X82"/>
    </row>
    <row r="83" spans="3:24" ht="15" thickBot="1" x14ac:dyDescent="0.35">
      <c r="C83" s="863"/>
      <c r="D83" s="271">
        <v>2018</v>
      </c>
      <c r="E83" s="271">
        <v>2019</v>
      </c>
      <c r="F83" s="271">
        <v>2020</v>
      </c>
      <c r="G83" s="271">
        <v>2021</v>
      </c>
      <c r="H83" s="271">
        <v>2022</v>
      </c>
      <c r="I83" s="271"/>
      <c r="J83" s="271">
        <v>2023</v>
      </c>
      <c r="K83" s="272">
        <v>2024</v>
      </c>
      <c r="L83"/>
      <c r="M83" s="271">
        <v>2018</v>
      </c>
      <c r="N83" s="271">
        <v>2019</v>
      </c>
      <c r="O83" s="271">
        <v>2020</v>
      </c>
      <c r="P83" s="271">
        <v>2021</v>
      </c>
      <c r="Q83" s="271">
        <v>2022</v>
      </c>
      <c r="R83" s="271">
        <v>2023</v>
      </c>
      <c r="S83" s="272">
        <v>2024</v>
      </c>
      <c r="U83"/>
      <c r="W83"/>
      <c r="X83"/>
    </row>
    <row r="84" spans="3:24" x14ac:dyDescent="0.3">
      <c r="C84" s="273" t="s">
        <v>273</v>
      </c>
      <c r="D84" s="274">
        <v>421</v>
      </c>
      <c r="E84" s="274">
        <v>414</v>
      </c>
      <c r="F84" s="274">
        <v>393</v>
      </c>
      <c r="G84" s="274">
        <v>337</v>
      </c>
      <c r="H84" s="274">
        <v>304</v>
      </c>
      <c r="I84" s="274"/>
      <c r="J84" s="274">
        <v>262</v>
      </c>
      <c r="K84" s="275">
        <v>247</v>
      </c>
      <c r="L84" s="476">
        <v>660</v>
      </c>
      <c r="M84" s="822">
        <f>D84/L84</f>
        <v>0.63787878787878793</v>
      </c>
      <c r="N84" s="822">
        <f>E84/D84</f>
        <v>0.98337292161520184</v>
      </c>
      <c r="O84" s="822">
        <f t="shared" ref="O84:O85" si="15">F84/E84</f>
        <v>0.94927536231884058</v>
      </c>
      <c r="P84" s="822">
        <f t="shared" ref="P84:P85" si="16">G84/F84</f>
        <v>0.85750636132315516</v>
      </c>
      <c r="Q84" s="822">
        <f t="shared" ref="Q84:Q85" si="17">H84/G84</f>
        <v>0.90207715133531152</v>
      </c>
      <c r="R84" s="822">
        <f t="shared" ref="R84:R85" si="18">J84/H84</f>
        <v>0.86184210526315785</v>
      </c>
      <c r="S84" s="822">
        <f t="shared" ref="S84:S85" si="19">K84/J84</f>
        <v>0.9427480916030534</v>
      </c>
      <c r="U84"/>
      <c r="W84"/>
      <c r="X84"/>
    </row>
    <row r="85" spans="3:24" ht="15" thickBot="1" x14ac:dyDescent="0.35">
      <c r="C85" s="277" t="s">
        <v>274</v>
      </c>
      <c r="D85" s="278">
        <v>106</v>
      </c>
      <c r="E85" s="278">
        <v>107</v>
      </c>
      <c r="F85" s="278">
        <v>104</v>
      </c>
      <c r="G85" s="278">
        <v>97</v>
      </c>
      <c r="H85" s="278">
        <v>92</v>
      </c>
      <c r="I85" s="278"/>
      <c r="J85" s="278">
        <v>87</v>
      </c>
      <c r="K85" s="279">
        <v>84</v>
      </c>
      <c r="L85" s="823">
        <v>128</v>
      </c>
      <c r="M85" s="822">
        <f>D85/L85</f>
        <v>0.828125</v>
      </c>
      <c r="N85" s="822">
        <f>E85/D85</f>
        <v>1.0094339622641511</v>
      </c>
      <c r="O85" s="822">
        <f t="shared" si="15"/>
        <v>0.9719626168224299</v>
      </c>
      <c r="P85" s="822">
        <f t="shared" si="16"/>
        <v>0.93269230769230771</v>
      </c>
      <c r="Q85" s="822">
        <f t="shared" si="17"/>
        <v>0.94845360824742264</v>
      </c>
      <c r="R85" s="822">
        <f t="shared" si="18"/>
        <v>0.94565217391304346</v>
      </c>
      <c r="S85" s="822">
        <f t="shared" si="19"/>
        <v>0.96551724137931039</v>
      </c>
      <c r="U85"/>
      <c r="W85"/>
      <c r="X85"/>
    </row>
    <row r="86" spans="3:24" ht="15" thickBot="1" x14ac:dyDescent="0.35">
      <c r="C86" s="261"/>
      <c r="D86" s="276"/>
      <c r="E86" s="276"/>
      <c r="F86" s="276"/>
      <c r="G86" s="276"/>
      <c r="H86" s="276"/>
      <c r="I86" s="276"/>
      <c r="J86" s="276"/>
      <c r="K86" s="276"/>
      <c r="L86"/>
      <c r="N86"/>
      <c r="O86"/>
      <c r="Q86"/>
      <c r="S86"/>
      <c r="U86"/>
      <c r="W86"/>
      <c r="X86"/>
    </row>
    <row r="87" spans="3:24" ht="14.55" customHeight="1" x14ac:dyDescent="0.3">
      <c r="C87" s="862" t="s">
        <v>276</v>
      </c>
      <c r="D87" s="864" t="s">
        <v>272</v>
      </c>
      <c r="E87" s="864"/>
      <c r="F87" s="864"/>
      <c r="G87" s="864"/>
      <c r="H87" s="864"/>
      <c r="I87" s="864"/>
      <c r="J87" s="864"/>
      <c r="K87" s="865"/>
      <c r="L87"/>
      <c r="N87"/>
      <c r="O87"/>
      <c r="Q87"/>
      <c r="S87"/>
      <c r="U87"/>
      <c r="W87"/>
      <c r="X87"/>
    </row>
    <row r="88" spans="3:24" ht="15" thickBot="1" x14ac:dyDescent="0.35">
      <c r="C88" s="863"/>
      <c r="D88" s="271">
        <v>2018</v>
      </c>
      <c r="E88" s="271">
        <v>2019</v>
      </c>
      <c r="F88" s="271">
        <v>2020</v>
      </c>
      <c r="G88" s="271">
        <v>2021</v>
      </c>
      <c r="H88" s="271">
        <v>2022</v>
      </c>
      <c r="I88" s="271"/>
      <c r="J88" s="271">
        <v>2023</v>
      </c>
      <c r="K88" s="272">
        <v>2024</v>
      </c>
      <c r="L88"/>
      <c r="N88"/>
      <c r="O88"/>
      <c r="Q88"/>
      <c r="S88"/>
      <c r="U88"/>
      <c r="W88"/>
      <c r="X88"/>
    </row>
    <row r="89" spans="3:24" x14ac:dyDescent="0.3">
      <c r="C89" s="273" t="s">
        <v>273</v>
      </c>
      <c r="D89" s="274">
        <v>949</v>
      </c>
      <c r="E89" s="274">
        <v>955</v>
      </c>
      <c r="F89" s="274">
        <v>946</v>
      </c>
      <c r="G89" s="274">
        <v>879</v>
      </c>
      <c r="H89" s="274">
        <v>863</v>
      </c>
      <c r="I89" s="274"/>
      <c r="J89" s="274">
        <v>835</v>
      </c>
      <c r="K89" s="275">
        <v>840</v>
      </c>
      <c r="L89"/>
      <c r="N89"/>
      <c r="O89"/>
      <c r="Q89"/>
      <c r="S89"/>
      <c r="U89"/>
      <c r="W89"/>
      <c r="X89"/>
    </row>
    <row r="90" spans="3:24" ht="15" thickBot="1" x14ac:dyDescent="0.35">
      <c r="C90" s="277" t="s">
        <v>274</v>
      </c>
      <c r="D90" s="278">
        <v>206</v>
      </c>
      <c r="E90" s="278">
        <v>210</v>
      </c>
      <c r="F90" s="278">
        <v>211</v>
      </c>
      <c r="G90" s="278">
        <v>201</v>
      </c>
      <c r="H90" s="278">
        <v>201</v>
      </c>
      <c r="I90" s="278"/>
      <c r="J90" s="278">
        <v>200</v>
      </c>
      <c r="K90" s="279">
        <v>203</v>
      </c>
      <c r="L90"/>
      <c r="N90"/>
      <c r="O90"/>
      <c r="Q90"/>
      <c r="S90"/>
      <c r="U90"/>
      <c r="W90"/>
      <c r="X90"/>
    </row>
    <row r="91" spans="3:24" x14ac:dyDescent="0.3">
      <c r="E91"/>
      <c r="G91"/>
      <c r="J91"/>
      <c r="L91"/>
      <c r="N91"/>
      <c r="O91"/>
      <c r="Q91"/>
      <c r="S91"/>
      <c r="U91"/>
      <c r="W91"/>
      <c r="X91"/>
    </row>
    <row r="92" spans="3:24" x14ac:dyDescent="0.3">
      <c r="E92"/>
      <c r="G92"/>
      <c r="J92"/>
      <c r="L92"/>
      <c r="N92"/>
      <c r="O92"/>
      <c r="Q92"/>
      <c r="S92"/>
      <c r="U92"/>
      <c r="W92"/>
      <c r="X92"/>
    </row>
    <row r="93" spans="3:24" x14ac:dyDescent="0.3">
      <c r="E93"/>
      <c r="G93"/>
      <c r="J93"/>
      <c r="L93"/>
      <c r="N93"/>
      <c r="O93"/>
      <c r="Q93"/>
      <c r="S93"/>
      <c r="U93"/>
      <c r="W93"/>
      <c r="X93"/>
    </row>
    <row r="94" spans="3:24" x14ac:dyDescent="0.3">
      <c r="E94"/>
      <c r="G94"/>
      <c r="J94"/>
      <c r="L94"/>
      <c r="N94"/>
      <c r="O94"/>
      <c r="Q94"/>
      <c r="S94"/>
      <c r="U94"/>
      <c r="W94"/>
      <c r="X94"/>
    </row>
    <row r="95" spans="3:24" x14ac:dyDescent="0.3">
      <c r="E95"/>
      <c r="G95"/>
      <c r="J95"/>
      <c r="L95"/>
      <c r="N95"/>
      <c r="O95"/>
      <c r="Q95"/>
      <c r="S95"/>
      <c r="U95"/>
      <c r="W95"/>
      <c r="X95"/>
    </row>
    <row r="96" spans="3:24" x14ac:dyDescent="0.3">
      <c r="E96"/>
      <c r="G96"/>
      <c r="J96"/>
      <c r="L96"/>
      <c r="N96"/>
      <c r="O96"/>
      <c r="Q96"/>
      <c r="S96"/>
      <c r="U96"/>
      <c r="W96"/>
      <c r="X96"/>
    </row>
    <row r="97" spans="5:24" x14ac:dyDescent="0.3">
      <c r="E97"/>
      <c r="G97"/>
      <c r="J97"/>
      <c r="L97"/>
      <c r="N97"/>
      <c r="O97"/>
      <c r="Q97"/>
      <c r="S97"/>
      <c r="U97"/>
      <c r="W97"/>
      <c r="X97"/>
    </row>
    <row r="98" spans="5:24" x14ac:dyDescent="0.3">
      <c r="E98"/>
      <c r="G98"/>
      <c r="J98"/>
      <c r="L98"/>
      <c r="N98"/>
      <c r="O98"/>
      <c r="Q98"/>
      <c r="S98"/>
      <c r="U98"/>
      <c r="W98"/>
      <c r="X98"/>
    </row>
    <row r="99" spans="5:24" x14ac:dyDescent="0.3">
      <c r="E99"/>
      <c r="G99"/>
      <c r="J99"/>
      <c r="L99"/>
      <c r="N99"/>
      <c r="O99"/>
      <c r="Q99"/>
      <c r="S99"/>
      <c r="U99"/>
      <c r="W99"/>
      <c r="X99"/>
    </row>
    <row r="100" spans="5:24" x14ac:dyDescent="0.3">
      <c r="E100"/>
      <c r="G100"/>
      <c r="J100"/>
      <c r="L100"/>
      <c r="N100"/>
      <c r="O100"/>
      <c r="Q100"/>
      <c r="S100"/>
      <c r="U100"/>
      <c r="W100"/>
      <c r="X100"/>
    </row>
    <row r="101" spans="5:24" x14ac:dyDescent="0.3">
      <c r="E101"/>
      <c r="G101"/>
      <c r="J101"/>
      <c r="L101"/>
      <c r="N101"/>
      <c r="O101"/>
      <c r="Q101"/>
      <c r="S101"/>
      <c r="U101"/>
      <c r="W101"/>
      <c r="X101"/>
    </row>
    <row r="102" spans="5:24" x14ac:dyDescent="0.3">
      <c r="E102"/>
      <c r="G102"/>
      <c r="J102"/>
      <c r="L102"/>
      <c r="N102"/>
      <c r="O102"/>
      <c r="Q102"/>
      <c r="S102"/>
      <c r="U102"/>
      <c r="W102"/>
      <c r="X102"/>
    </row>
    <row r="103" spans="5:24" x14ac:dyDescent="0.3">
      <c r="E103"/>
      <c r="G103"/>
      <c r="J103"/>
      <c r="L103"/>
      <c r="N103"/>
      <c r="O103"/>
      <c r="Q103"/>
      <c r="S103"/>
      <c r="U103"/>
      <c r="W103"/>
      <c r="X103"/>
    </row>
    <row r="104" spans="5:24" x14ac:dyDescent="0.3">
      <c r="E104"/>
      <c r="G104"/>
      <c r="J104"/>
      <c r="L104"/>
      <c r="N104"/>
      <c r="O104"/>
      <c r="Q104"/>
      <c r="S104"/>
      <c r="U104"/>
      <c r="W104"/>
      <c r="X104"/>
    </row>
    <row r="105" spans="5:24" x14ac:dyDescent="0.3">
      <c r="E105"/>
      <c r="G105"/>
      <c r="J105"/>
      <c r="L105"/>
      <c r="N105"/>
      <c r="O105"/>
      <c r="Q105"/>
      <c r="S105"/>
      <c r="U105"/>
      <c r="W105"/>
      <c r="X105"/>
    </row>
    <row r="106" spans="5:24" x14ac:dyDescent="0.3">
      <c r="E106"/>
      <c r="G106"/>
      <c r="J106"/>
      <c r="L106"/>
      <c r="N106"/>
      <c r="O106"/>
      <c r="Q106"/>
      <c r="S106"/>
      <c r="U106"/>
      <c r="W106"/>
      <c r="X106"/>
    </row>
    <row r="107" spans="5:24" x14ac:dyDescent="0.3">
      <c r="E107"/>
      <c r="G107"/>
      <c r="J107"/>
      <c r="L107"/>
      <c r="N107"/>
      <c r="O107"/>
      <c r="Q107"/>
      <c r="S107"/>
      <c r="U107"/>
      <c r="W107"/>
      <c r="X107"/>
    </row>
    <row r="108" spans="5:24" x14ac:dyDescent="0.3">
      <c r="E108"/>
      <c r="G108"/>
      <c r="J108"/>
      <c r="L108"/>
      <c r="N108"/>
      <c r="O108"/>
      <c r="Q108"/>
      <c r="S108"/>
      <c r="U108"/>
      <c r="W108"/>
      <c r="X108"/>
    </row>
    <row r="109" spans="5:24" x14ac:dyDescent="0.3">
      <c r="E109"/>
      <c r="G109"/>
      <c r="J109"/>
      <c r="L109"/>
      <c r="N109"/>
      <c r="O109"/>
      <c r="Q109"/>
      <c r="S109"/>
      <c r="U109"/>
      <c r="W109"/>
      <c r="X109"/>
    </row>
    <row r="110" spans="5:24" x14ac:dyDescent="0.3">
      <c r="E110"/>
      <c r="G110"/>
      <c r="J110"/>
      <c r="L110"/>
      <c r="N110"/>
      <c r="O110"/>
      <c r="Q110"/>
      <c r="S110"/>
      <c r="U110"/>
      <c r="W110"/>
      <c r="X110"/>
    </row>
    <row r="111" spans="5:24" x14ac:dyDescent="0.3">
      <c r="E111"/>
      <c r="G111"/>
      <c r="J111"/>
      <c r="L111"/>
      <c r="N111"/>
      <c r="O111"/>
      <c r="Q111"/>
      <c r="S111"/>
      <c r="U111"/>
      <c r="W111"/>
      <c r="X111"/>
    </row>
    <row r="112" spans="5:24" x14ac:dyDescent="0.3">
      <c r="E112"/>
      <c r="G112"/>
      <c r="J112"/>
      <c r="L112"/>
      <c r="N112"/>
      <c r="O112"/>
      <c r="Q112"/>
      <c r="S112"/>
      <c r="U112"/>
      <c r="W112"/>
      <c r="X112"/>
    </row>
    <row r="113" spans="5:24" x14ac:dyDescent="0.3">
      <c r="E113"/>
      <c r="G113"/>
      <c r="J113"/>
      <c r="L113"/>
      <c r="N113"/>
      <c r="O113"/>
      <c r="Q113"/>
      <c r="S113"/>
      <c r="U113"/>
      <c r="W113"/>
      <c r="X113"/>
    </row>
    <row r="114" spans="5:24" x14ac:dyDescent="0.3">
      <c r="E114"/>
      <c r="G114"/>
      <c r="J114"/>
      <c r="L114"/>
      <c r="N114"/>
      <c r="O114"/>
      <c r="Q114"/>
      <c r="S114"/>
      <c r="U114"/>
      <c r="W114"/>
      <c r="X114"/>
    </row>
    <row r="115" spans="5:24" x14ac:dyDescent="0.3">
      <c r="E115"/>
      <c r="G115"/>
      <c r="J115"/>
      <c r="L115"/>
      <c r="N115"/>
      <c r="O115"/>
      <c r="Q115"/>
      <c r="S115"/>
      <c r="U115"/>
      <c r="W115"/>
      <c r="X115"/>
    </row>
    <row r="116" spans="5:24" x14ac:dyDescent="0.3">
      <c r="E116"/>
      <c r="G116"/>
      <c r="J116"/>
      <c r="L116"/>
      <c r="N116"/>
      <c r="O116"/>
      <c r="Q116"/>
      <c r="S116"/>
      <c r="U116"/>
      <c r="W116"/>
      <c r="X116"/>
    </row>
    <row r="117" spans="5:24" x14ac:dyDescent="0.3">
      <c r="E117"/>
      <c r="G117"/>
      <c r="J117"/>
      <c r="L117"/>
      <c r="N117"/>
      <c r="O117"/>
      <c r="Q117"/>
      <c r="S117"/>
      <c r="U117"/>
      <c r="W117"/>
      <c r="X117"/>
    </row>
    <row r="118" spans="5:24" x14ac:dyDescent="0.3">
      <c r="E118"/>
      <c r="G118"/>
      <c r="J118"/>
      <c r="L118"/>
      <c r="N118"/>
      <c r="O118"/>
      <c r="Q118"/>
      <c r="S118"/>
      <c r="U118"/>
      <c r="W118"/>
      <c r="X118"/>
    </row>
    <row r="119" spans="5:24" x14ac:dyDescent="0.3">
      <c r="E119"/>
      <c r="G119"/>
      <c r="J119"/>
      <c r="L119"/>
      <c r="N119"/>
      <c r="O119"/>
      <c r="Q119"/>
      <c r="S119"/>
      <c r="U119"/>
      <c r="W119"/>
      <c r="X119"/>
    </row>
    <row r="120" spans="5:24" x14ac:dyDescent="0.3">
      <c r="E120"/>
      <c r="G120"/>
      <c r="J120"/>
      <c r="L120"/>
      <c r="N120"/>
      <c r="O120"/>
      <c r="Q120"/>
      <c r="S120"/>
      <c r="U120"/>
      <c r="W120"/>
      <c r="X120"/>
    </row>
    <row r="121" spans="5:24" x14ac:dyDescent="0.3">
      <c r="E121"/>
      <c r="G121"/>
      <c r="J121"/>
      <c r="L121"/>
      <c r="N121"/>
      <c r="O121"/>
      <c r="Q121"/>
      <c r="S121"/>
      <c r="U121"/>
      <c r="W121"/>
      <c r="X121"/>
    </row>
    <row r="122" spans="5:24" x14ac:dyDescent="0.3">
      <c r="E122"/>
      <c r="G122"/>
      <c r="J122"/>
      <c r="L122"/>
      <c r="N122"/>
      <c r="O122"/>
      <c r="Q122"/>
      <c r="S122"/>
      <c r="U122"/>
      <c r="W122"/>
      <c r="X122"/>
    </row>
    <row r="123" spans="5:24" x14ac:dyDescent="0.3">
      <c r="E123"/>
      <c r="G123"/>
      <c r="J123"/>
      <c r="L123"/>
      <c r="N123"/>
      <c r="O123"/>
      <c r="Q123"/>
      <c r="S123"/>
      <c r="U123"/>
      <c r="W123"/>
      <c r="X123"/>
    </row>
    <row r="124" spans="5:24" x14ac:dyDescent="0.3">
      <c r="E124"/>
      <c r="G124"/>
      <c r="J124"/>
      <c r="L124"/>
      <c r="N124"/>
      <c r="O124"/>
      <c r="Q124"/>
      <c r="S124"/>
      <c r="U124"/>
      <c r="W124"/>
      <c r="X124"/>
    </row>
    <row r="125" spans="5:24" x14ac:dyDescent="0.3">
      <c r="E125"/>
      <c r="G125"/>
      <c r="J125"/>
      <c r="L125"/>
      <c r="N125"/>
      <c r="O125"/>
      <c r="Q125"/>
      <c r="S125"/>
      <c r="U125"/>
      <c r="W125"/>
      <c r="X125"/>
    </row>
    <row r="126" spans="5:24" x14ac:dyDescent="0.3">
      <c r="E126"/>
      <c r="G126"/>
      <c r="J126"/>
      <c r="L126"/>
      <c r="N126"/>
      <c r="O126"/>
      <c r="Q126"/>
      <c r="S126"/>
      <c r="U126"/>
      <c r="W126"/>
      <c r="X126"/>
    </row>
    <row r="127" spans="5:24" x14ac:dyDescent="0.3">
      <c r="E127"/>
      <c r="G127"/>
      <c r="J127"/>
      <c r="L127"/>
      <c r="N127"/>
      <c r="O127"/>
      <c r="Q127"/>
      <c r="S127"/>
      <c r="U127"/>
      <c r="W127"/>
      <c r="X127"/>
    </row>
    <row r="128" spans="5:24" x14ac:dyDescent="0.3">
      <c r="E128"/>
      <c r="G128"/>
      <c r="J128"/>
      <c r="L128"/>
      <c r="N128"/>
      <c r="O128"/>
      <c r="Q128"/>
      <c r="S128"/>
      <c r="U128"/>
      <c r="W128"/>
      <c r="X128"/>
    </row>
    <row r="129" spans="3:26" x14ac:dyDescent="0.3">
      <c r="E129"/>
      <c r="G129"/>
      <c r="J129"/>
      <c r="L129"/>
      <c r="N129"/>
      <c r="O129"/>
      <c r="Q129"/>
      <c r="S129"/>
      <c r="U129"/>
      <c r="W129"/>
      <c r="X129"/>
    </row>
    <row r="130" spans="3:26" x14ac:dyDescent="0.3">
      <c r="E130"/>
      <c r="G130"/>
      <c r="J130"/>
      <c r="L130"/>
      <c r="N130"/>
      <c r="O130"/>
      <c r="Q130"/>
      <c r="S130"/>
      <c r="U130"/>
      <c r="W130"/>
      <c r="X130"/>
    </row>
    <row r="131" spans="3:26" x14ac:dyDescent="0.3">
      <c r="E131"/>
      <c r="G131"/>
      <c r="J131"/>
      <c r="L131"/>
      <c r="N131"/>
      <c r="O131"/>
      <c r="Q131"/>
      <c r="S131"/>
      <c r="U131"/>
      <c r="W131"/>
      <c r="X131"/>
    </row>
    <row r="132" spans="3:26" x14ac:dyDescent="0.3">
      <c r="E132"/>
      <c r="G132"/>
      <c r="J132"/>
      <c r="L132"/>
      <c r="N132"/>
      <c r="O132"/>
      <c r="Q132"/>
      <c r="S132"/>
      <c r="U132"/>
      <c r="W132"/>
      <c r="X132"/>
    </row>
    <row r="133" spans="3:26" x14ac:dyDescent="0.3">
      <c r="E133"/>
      <c r="G133"/>
      <c r="J133"/>
      <c r="L133"/>
      <c r="N133"/>
      <c r="O133"/>
      <c r="Q133"/>
      <c r="S133"/>
      <c r="U133"/>
      <c r="W133"/>
      <c r="X133"/>
    </row>
    <row r="134" spans="3:26" x14ac:dyDescent="0.3">
      <c r="E134"/>
      <c r="G134"/>
      <c r="J134"/>
      <c r="L134"/>
      <c r="N134"/>
      <c r="O134"/>
      <c r="Q134"/>
      <c r="S134"/>
      <c r="U134"/>
      <c r="W134"/>
      <c r="X134"/>
    </row>
    <row r="135" spans="3:26" x14ac:dyDescent="0.3">
      <c r="E135"/>
      <c r="G135"/>
      <c r="J135"/>
      <c r="L135"/>
      <c r="N135"/>
      <c r="O135"/>
      <c r="Q135"/>
      <c r="S135"/>
      <c r="U135"/>
      <c r="W135"/>
      <c r="X135"/>
    </row>
    <row r="136" spans="3:26" x14ac:dyDescent="0.3">
      <c r="E136"/>
      <c r="G136"/>
      <c r="J136"/>
      <c r="L136"/>
      <c r="N136"/>
      <c r="O136"/>
      <c r="Q136"/>
      <c r="S136"/>
      <c r="U136"/>
      <c r="W136"/>
      <c r="X136"/>
    </row>
    <row r="137" spans="3:26" x14ac:dyDescent="0.3">
      <c r="E137"/>
      <c r="G137"/>
      <c r="J137"/>
      <c r="L137"/>
      <c r="N137"/>
      <c r="O137"/>
      <c r="Q137"/>
      <c r="S137"/>
      <c r="U137"/>
      <c r="W137"/>
      <c r="X137"/>
    </row>
    <row r="138" spans="3:26" x14ac:dyDescent="0.3">
      <c r="C138" s="452"/>
      <c r="D138" s="452"/>
      <c r="E138" s="452"/>
      <c r="F138" s="452"/>
      <c r="G138" s="452"/>
      <c r="H138" s="452"/>
      <c r="I138" s="452"/>
      <c r="J138" s="452"/>
      <c r="K138" s="452"/>
      <c r="L138" s="452"/>
      <c r="M138" s="452"/>
      <c r="N138" s="452"/>
      <c r="O138" s="452"/>
      <c r="P138" s="452"/>
      <c r="Q138" s="452"/>
      <c r="R138" s="452"/>
      <c r="S138" s="452"/>
      <c r="T138" s="452"/>
      <c r="U138" s="452"/>
      <c r="V138" s="452"/>
      <c r="W138" s="452"/>
      <c r="X138" s="452"/>
      <c r="Y138" s="452"/>
      <c r="Z138" s="452"/>
    </row>
  </sheetData>
  <mergeCells count="8">
    <mergeCell ref="C87:C88"/>
    <mergeCell ref="D87:K87"/>
    <mergeCell ref="M82:S82"/>
    <mergeCell ref="C2:O2"/>
    <mergeCell ref="C75:C76"/>
    <mergeCell ref="D75:K75"/>
    <mergeCell ref="C82:C83"/>
    <mergeCell ref="D82:K8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35"/>
  <sheetViews>
    <sheetView showGridLines="0" zoomScale="40" zoomScaleNormal="40" workbookViewId="0">
      <pane xSplit="2" ySplit="5" topLeftCell="H93" activePane="bottomRight" state="frozen"/>
      <selection pane="topRight" activeCell="C1" sqref="C1"/>
      <selection pane="bottomLeft" activeCell="A6" sqref="A6"/>
      <selection pane="bottomRight" activeCell="O120" sqref="O120"/>
    </sheetView>
  </sheetViews>
  <sheetFormatPr defaultRowHeight="22.8" x14ac:dyDescent="0.4"/>
  <cols>
    <col min="1" max="1" width="33.109375" bestFit="1" customWidth="1"/>
    <col min="2" max="2" width="104.5546875" style="33" bestFit="1" customWidth="1"/>
    <col min="3" max="3" width="28" customWidth="1" collapsed="1"/>
    <col min="4" max="4" width="27.6640625" bestFit="1" customWidth="1"/>
    <col min="5" max="5" width="17.44140625" customWidth="1"/>
    <col min="6" max="6" width="14.88671875" bestFit="1" customWidth="1"/>
    <col min="7" max="7" width="15.6640625" customWidth="1"/>
    <col min="8" max="8" width="32.88671875" bestFit="1" customWidth="1"/>
    <col min="9" max="10" width="26.44140625" customWidth="1"/>
    <col min="11" max="12" width="16.109375" hidden="1" customWidth="1"/>
    <col min="13" max="13" width="19.21875" hidden="1" customWidth="1"/>
    <col min="15" max="15" width="28" customWidth="1" collapsed="1"/>
    <col min="16" max="16" width="27.6640625" bestFit="1" customWidth="1"/>
    <col min="17" max="17" width="17.44140625" customWidth="1"/>
    <col min="18" max="18" width="14.88671875" bestFit="1" customWidth="1"/>
    <col min="19" max="19" width="15.6640625" customWidth="1"/>
    <col min="20" max="20" width="32.88671875" bestFit="1" customWidth="1"/>
    <col min="21" max="22" width="26.44140625" customWidth="1"/>
    <col min="23" max="24" width="16.109375" hidden="1" customWidth="1"/>
    <col min="25" max="25" width="19.21875" hidden="1" customWidth="1"/>
  </cols>
  <sheetData>
    <row r="1" spans="1:25" ht="23.25" customHeight="1" x14ac:dyDescent="0.3">
      <c r="A1" s="868" t="s">
        <v>193</v>
      </c>
      <c r="B1" s="868"/>
      <c r="C1" s="868"/>
      <c r="D1" s="868"/>
      <c r="E1" s="868"/>
      <c r="F1" s="868"/>
      <c r="G1" s="868"/>
      <c r="H1" s="868"/>
      <c r="I1" s="868"/>
      <c r="J1" s="868"/>
      <c r="K1" s="868"/>
      <c r="L1" s="868"/>
      <c r="M1" s="868"/>
    </row>
    <row r="2" spans="1:25" ht="23.25" customHeight="1" x14ac:dyDescent="0.3">
      <c r="A2" s="868"/>
      <c r="B2" s="868"/>
      <c r="C2" s="868"/>
      <c r="D2" s="868"/>
      <c r="E2" s="868"/>
      <c r="F2" s="868"/>
      <c r="G2" s="868"/>
      <c r="H2" s="868"/>
      <c r="I2" s="868"/>
      <c r="J2" s="868"/>
      <c r="K2" s="868"/>
      <c r="L2" s="868"/>
      <c r="M2" s="868"/>
    </row>
    <row r="3" spans="1:25" ht="23.25" customHeight="1" x14ac:dyDescent="0.3">
      <c r="A3" s="868"/>
      <c r="B3" s="868"/>
      <c r="C3" s="868"/>
      <c r="D3" s="868"/>
      <c r="E3" s="868"/>
      <c r="F3" s="868"/>
      <c r="G3" s="868"/>
      <c r="H3" s="868"/>
      <c r="I3" s="868"/>
      <c r="J3" s="868"/>
      <c r="K3" s="868"/>
      <c r="L3" s="868"/>
      <c r="M3" s="868"/>
    </row>
    <row r="4" spans="1:25" ht="23.25" customHeight="1" x14ac:dyDescent="0.4">
      <c r="A4" s="878" t="s">
        <v>103</v>
      </c>
      <c r="B4" s="878" t="s">
        <v>192</v>
      </c>
      <c r="C4" s="869" t="s">
        <v>215</v>
      </c>
      <c r="D4" s="869"/>
      <c r="E4" s="869"/>
      <c r="F4" s="869"/>
      <c r="G4" s="869"/>
      <c r="H4" s="869"/>
      <c r="I4" s="869"/>
      <c r="J4" s="869"/>
      <c r="K4" s="869"/>
      <c r="L4" s="104"/>
      <c r="M4" s="104"/>
      <c r="O4" s="869" t="s">
        <v>220</v>
      </c>
      <c r="P4" s="869"/>
      <c r="Q4" s="869"/>
      <c r="R4" s="869"/>
      <c r="S4" s="869"/>
      <c r="T4" s="869"/>
      <c r="U4" s="869"/>
      <c r="V4" s="869"/>
      <c r="W4" s="869"/>
      <c r="X4" s="104"/>
      <c r="Y4" s="104"/>
    </row>
    <row r="5" spans="1:25" ht="61.95" customHeight="1" x14ac:dyDescent="0.3">
      <c r="A5" s="879"/>
      <c r="B5" s="879"/>
      <c r="C5" s="1" t="s">
        <v>187</v>
      </c>
      <c r="D5" s="60" t="s">
        <v>98</v>
      </c>
      <c r="E5" s="60" t="s">
        <v>99</v>
      </c>
      <c r="F5" s="60" t="s">
        <v>204</v>
      </c>
      <c r="G5" s="60" t="s">
        <v>212</v>
      </c>
      <c r="H5" s="60" t="s">
        <v>214</v>
      </c>
      <c r="I5" s="60" t="s">
        <v>203</v>
      </c>
      <c r="J5" s="60" t="s">
        <v>213</v>
      </c>
      <c r="K5" s="69" t="s">
        <v>188</v>
      </c>
      <c r="L5" s="60" t="s">
        <v>210</v>
      </c>
      <c r="M5" s="60" t="s">
        <v>211</v>
      </c>
      <c r="O5" s="1" t="s">
        <v>219</v>
      </c>
      <c r="P5" s="60" t="s">
        <v>98</v>
      </c>
      <c r="Q5" s="60" t="s">
        <v>99</v>
      </c>
      <c r="R5" s="60" t="s">
        <v>204</v>
      </c>
      <c r="S5" s="60" t="s">
        <v>212</v>
      </c>
      <c r="T5" s="60" t="s">
        <v>214</v>
      </c>
      <c r="U5" s="60" t="s">
        <v>203</v>
      </c>
      <c r="V5" s="60" t="s">
        <v>213</v>
      </c>
      <c r="W5" s="69" t="s">
        <v>188</v>
      </c>
      <c r="X5" s="60" t="s">
        <v>210</v>
      </c>
      <c r="Y5" s="60" t="s">
        <v>211</v>
      </c>
    </row>
    <row r="6" spans="1:25" ht="22.95" x14ac:dyDescent="0.35">
      <c r="A6" s="3"/>
      <c r="B6" s="3" t="s">
        <v>0</v>
      </c>
      <c r="C6" s="4"/>
      <c r="D6" s="870"/>
      <c r="E6" s="871"/>
      <c r="F6" s="148"/>
      <c r="G6" s="82"/>
      <c r="H6" s="82"/>
      <c r="I6" s="82"/>
      <c r="J6" s="82"/>
      <c r="K6" s="149"/>
      <c r="L6" s="149"/>
      <c r="M6" s="149"/>
      <c r="O6" s="4"/>
      <c r="P6" s="870"/>
      <c r="Q6" s="871"/>
      <c r="R6" s="163"/>
      <c r="S6" s="82"/>
      <c r="T6" s="82"/>
      <c r="U6" s="82"/>
      <c r="V6" s="82"/>
      <c r="W6" s="164"/>
      <c r="X6" s="164"/>
      <c r="Y6" s="164"/>
    </row>
    <row r="7" spans="1:25" ht="22.5" x14ac:dyDescent="0.35">
      <c r="A7" s="5" t="s">
        <v>104</v>
      </c>
      <c r="B7" s="5" t="s">
        <v>1</v>
      </c>
      <c r="C7" s="6">
        <v>10666146.565233044</v>
      </c>
      <c r="D7" s="47">
        <v>66786000</v>
      </c>
      <c r="E7" s="47">
        <v>29200</v>
      </c>
      <c r="F7" s="61">
        <v>0.83140184682175033</v>
      </c>
      <c r="G7" s="61">
        <v>0.83503969998730321</v>
      </c>
      <c r="H7" s="61">
        <v>8845716.3370825909</v>
      </c>
      <c r="I7" s="47">
        <v>10639519.711073101</v>
      </c>
      <c r="J7" s="47">
        <v>10593168.6088902</v>
      </c>
      <c r="K7" s="47">
        <v>0</v>
      </c>
      <c r="L7" s="105">
        <f>C7/D7</f>
        <v>0.15970632415825239</v>
      </c>
      <c r="M7" s="61">
        <f>C7/E7</f>
        <v>365.27899196003574</v>
      </c>
      <c r="O7" s="6">
        <v>10666146.565233044</v>
      </c>
      <c r="P7" s="47">
        <v>66786000</v>
      </c>
      <c r="Q7" s="47">
        <v>29200</v>
      </c>
      <c r="R7" s="61">
        <v>0.65146753240075062</v>
      </c>
      <c r="S7" s="61">
        <v>0.6543180712034472</v>
      </c>
      <c r="T7" s="61">
        <v>6931301.6521019395</v>
      </c>
      <c r="U7" s="47">
        <v>10639519.711073101</v>
      </c>
      <c r="V7" s="47">
        <v>10593168.6088902</v>
      </c>
      <c r="W7" s="47">
        <v>0</v>
      </c>
      <c r="X7" s="105">
        <f>O7/P7</f>
        <v>0.15970632415825239</v>
      </c>
      <c r="Y7" s="61">
        <f>O7/Q7</f>
        <v>365.27899196003574</v>
      </c>
    </row>
    <row r="8" spans="1:25" ht="22.5" x14ac:dyDescent="0.35">
      <c r="A8" s="5" t="s">
        <v>105</v>
      </c>
      <c r="B8" s="5" t="s">
        <v>2</v>
      </c>
      <c r="C8" s="6">
        <v>9064874.9637419637</v>
      </c>
      <c r="D8" s="47">
        <v>16918470.9476333</v>
      </c>
      <c r="E8" s="47">
        <v>1643.89200903918</v>
      </c>
      <c r="F8" s="61">
        <v>1.3869124338504297</v>
      </c>
      <c r="G8" s="61">
        <v>1.4301343883120221</v>
      </c>
      <c r="H8" s="61">
        <v>12218930.447078381</v>
      </c>
      <c r="I8" s="47">
        <v>8810167.2094433904</v>
      </c>
      <c r="J8" s="47">
        <v>8543903.6687316503</v>
      </c>
      <c r="K8" s="47">
        <v>0</v>
      </c>
      <c r="L8" s="106">
        <f>C8/D8</f>
        <v>0.53579753110076622</v>
      </c>
      <c r="M8" s="62">
        <f>C8/E8</f>
        <v>5514.2764329392849</v>
      </c>
      <c r="O8" s="6">
        <v>3431091.5933043025</v>
      </c>
      <c r="P8" s="47">
        <v>5507288.3117279802</v>
      </c>
      <c r="Q8" s="47">
        <v>1008.51424249465</v>
      </c>
      <c r="R8" s="61">
        <v>0.58805748292726689</v>
      </c>
      <c r="S8" s="61">
        <v>0.58146095042201118</v>
      </c>
      <c r="T8" s="61">
        <v>1931184.3307367959</v>
      </c>
      <c r="U8" s="47">
        <v>3284006.0483945101</v>
      </c>
      <c r="V8" s="47">
        <v>3321262.2951467098</v>
      </c>
      <c r="W8" s="47">
        <v>0</v>
      </c>
      <c r="X8" s="106">
        <f>O8/P8</f>
        <v>0.62300925593411594</v>
      </c>
      <c r="Y8" s="62">
        <f>O8/Q8</f>
        <v>3402.1250754150888</v>
      </c>
    </row>
    <row r="9" spans="1:25" ht="22.5" x14ac:dyDescent="0.35">
      <c r="A9" s="5" t="s">
        <v>106</v>
      </c>
      <c r="B9" s="5" t="s">
        <v>3</v>
      </c>
      <c r="C9" s="6">
        <v>6944544.3639879115</v>
      </c>
      <c r="D9" s="47">
        <v>19851597.678371102</v>
      </c>
      <c r="E9" s="47">
        <v>8725.5422750057696</v>
      </c>
      <c r="F9" s="61">
        <v>1.2650091240644052</v>
      </c>
      <c r="G9" s="61">
        <v>1.8721974999186342</v>
      </c>
      <c r="H9" s="61">
        <v>12375653.640570365</v>
      </c>
      <c r="I9" s="47">
        <v>9783054.8453342896</v>
      </c>
      <c r="J9" s="47">
        <v>6610228.6970836204</v>
      </c>
      <c r="K9" s="47">
        <v>0</v>
      </c>
      <c r="L9" s="106">
        <f>C9/D9</f>
        <v>0.34982294505969141</v>
      </c>
      <c r="M9" s="62">
        <f>C9/E9</f>
        <v>795.88685093882259</v>
      </c>
      <c r="O9" s="6">
        <v>6944544.3639879115</v>
      </c>
      <c r="P9" s="47">
        <v>19851597.678371102</v>
      </c>
      <c r="Q9" s="47">
        <v>8725.5422750057696</v>
      </c>
      <c r="R9" s="61">
        <v>0.67191090590484581</v>
      </c>
      <c r="S9" s="61">
        <v>0.99441964035910868</v>
      </c>
      <c r="T9" s="61">
        <v>6573341.2436453532</v>
      </c>
      <c r="U9" s="47">
        <v>9783054.8453342896</v>
      </c>
      <c r="V9" s="47">
        <v>6610228.6970836204</v>
      </c>
      <c r="W9" s="47">
        <v>0</v>
      </c>
      <c r="X9" s="106">
        <f>O9/P9</f>
        <v>0.34982294505969141</v>
      </c>
      <c r="Y9" s="62">
        <f>O9/Q9</f>
        <v>795.88685093882259</v>
      </c>
    </row>
    <row r="10" spans="1:25" ht="22.5" x14ac:dyDescent="0.35">
      <c r="A10" s="7" t="s">
        <v>107</v>
      </c>
      <c r="B10" s="7" t="s">
        <v>4</v>
      </c>
      <c r="C10" s="6">
        <v>4796741.375699345</v>
      </c>
      <c r="D10" s="47">
        <v>10478743.269425901</v>
      </c>
      <c r="E10" s="47">
        <v>4543.0079784068903</v>
      </c>
      <c r="F10" s="61">
        <v>1.80150150352323</v>
      </c>
      <c r="G10" s="61">
        <v>1.8800966823118033</v>
      </c>
      <c r="H10" s="61">
        <v>8438685.079038363</v>
      </c>
      <c r="I10" s="47">
        <v>4684250.9220973002</v>
      </c>
      <c r="J10" s="47">
        <v>4488431.4505900797</v>
      </c>
      <c r="K10" s="47">
        <v>0</v>
      </c>
      <c r="L10" s="106">
        <f>C10/D10</f>
        <v>0.45775922287312076</v>
      </c>
      <c r="M10" s="62">
        <f>C10/E10</f>
        <v>1055.8514091321126</v>
      </c>
      <c r="O10" s="6">
        <v>3371481.1671665031</v>
      </c>
      <c r="P10" s="47">
        <v>6475081.5025944598</v>
      </c>
      <c r="Q10" s="47">
        <v>4431.4464098445796</v>
      </c>
      <c r="R10" s="61">
        <v>1.6812292501785435</v>
      </c>
      <c r="S10" s="61">
        <v>1.7501079220449804</v>
      </c>
      <c r="T10" s="61">
        <v>5542913.4927868536</v>
      </c>
      <c r="U10" s="47">
        <v>3296940.9092770698</v>
      </c>
      <c r="V10" s="47">
        <v>3167183.81933271</v>
      </c>
      <c r="W10" s="47">
        <v>0</v>
      </c>
      <c r="X10" s="106">
        <f>O10/P10</f>
        <v>0.52068551813835939</v>
      </c>
      <c r="Y10" s="62">
        <f>O10/Q10</f>
        <v>760.8082904210836</v>
      </c>
    </row>
    <row r="11" spans="1:25" ht="22.5" x14ac:dyDescent="0.35">
      <c r="A11" s="5" t="s">
        <v>108</v>
      </c>
      <c r="B11" s="5" t="s">
        <v>5</v>
      </c>
      <c r="C11" s="6">
        <v>51231237.747912936</v>
      </c>
      <c r="D11" s="47">
        <v>226616830.55536199</v>
      </c>
      <c r="E11" s="47">
        <v>35148.887590881197</v>
      </c>
      <c r="F11" s="61">
        <v>1.2068043040019485</v>
      </c>
      <c r="G11" s="61">
        <v>1.6923907967726959</v>
      </c>
      <c r="H11" s="61">
        <v>80893651.047167704</v>
      </c>
      <c r="I11" s="47">
        <v>67031291.468643203</v>
      </c>
      <c r="J11" s="47">
        <v>47798446.553495698</v>
      </c>
      <c r="K11" s="47">
        <v>2242.3877891999996</v>
      </c>
      <c r="L11" s="105">
        <f>C11/D11</f>
        <v>0.22606987143171284</v>
      </c>
      <c r="M11" s="61">
        <f>C11/E11</f>
        <v>1457.5493353935913</v>
      </c>
      <c r="O11" s="6">
        <v>21601748.647912901</v>
      </c>
      <c r="P11" s="47">
        <v>35827835.100000001</v>
      </c>
      <c r="Q11" s="47">
        <v>5036.5079599999999</v>
      </c>
      <c r="R11" s="61">
        <v>0.5626171035628752</v>
      </c>
      <c r="S11" s="61">
        <v>0.85484124383483162</v>
      </c>
      <c r="T11" s="61">
        <v>17379997.035851989</v>
      </c>
      <c r="U11" s="47">
        <v>30891341.421705801</v>
      </c>
      <c r="V11" s="47">
        <v>20331257.015495699</v>
      </c>
      <c r="W11" s="47">
        <v>2242.3877891999996</v>
      </c>
      <c r="X11" s="105">
        <f>O11/P11</f>
        <v>0.60293201047787837</v>
      </c>
      <c r="Y11" s="61">
        <f>O11/Q11</f>
        <v>4289.0329608280617</v>
      </c>
    </row>
    <row r="12" spans="1:25" ht="22.5" x14ac:dyDescent="0.35">
      <c r="A12" s="7" t="s">
        <v>109</v>
      </c>
      <c r="B12" s="7" t="s">
        <v>6</v>
      </c>
      <c r="C12" s="6">
        <v>495536.3396029984</v>
      </c>
      <c r="D12" s="47">
        <v>0</v>
      </c>
      <c r="E12" s="47">
        <v>0</v>
      </c>
      <c r="F12" s="61">
        <v>0</v>
      </c>
      <c r="G12" s="61">
        <v>0</v>
      </c>
      <c r="H12" s="61">
        <v>0</v>
      </c>
      <c r="I12" s="47">
        <v>495536.33960299799</v>
      </c>
      <c r="J12" s="47">
        <v>495536.33960299799</v>
      </c>
      <c r="K12" s="47">
        <v>0</v>
      </c>
      <c r="L12" s="105">
        <v>0</v>
      </c>
      <c r="M12" s="61">
        <v>0</v>
      </c>
      <c r="O12" s="6">
        <v>495536.3396029984</v>
      </c>
      <c r="P12" s="47">
        <v>0</v>
      </c>
      <c r="Q12" s="47">
        <v>0</v>
      </c>
      <c r="R12" s="61">
        <v>0</v>
      </c>
      <c r="S12" s="61">
        <v>0</v>
      </c>
      <c r="T12" s="61">
        <v>0</v>
      </c>
      <c r="U12" s="47">
        <v>495536.33960299799</v>
      </c>
      <c r="V12" s="47">
        <v>495536.33960299799</v>
      </c>
      <c r="W12" s="47">
        <v>0</v>
      </c>
      <c r="X12" s="105">
        <v>0</v>
      </c>
      <c r="Y12" s="61">
        <v>0</v>
      </c>
    </row>
    <row r="13" spans="1:25" ht="22.5" x14ac:dyDescent="0.35">
      <c r="A13" s="5" t="s">
        <v>110</v>
      </c>
      <c r="B13" s="5" t="s">
        <v>7</v>
      </c>
      <c r="C13" s="6">
        <v>350000</v>
      </c>
      <c r="D13" s="47">
        <v>0</v>
      </c>
      <c r="E13" s="47">
        <v>0</v>
      </c>
      <c r="F13" s="61">
        <v>0</v>
      </c>
      <c r="G13" s="61">
        <v>0</v>
      </c>
      <c r="H13" s="61">
        <v>0</v>
      </c>
      <c r="I13" s="47">
        <v>350000</v>
      </c>
      <c r="J13" s="47">
        <v>350000</v>
      </c>
      <c r="K13" s="47">
        <v>0</v>
      </c>
      <c r="L13" s="62">
        <v>0</v>
      </c>
      <c r="M13" s="62">
        <f>E13/C13</f>
        <v>0</v>
      </c>
      <c r="O13" s="6">
        <v>350000</v>
      </c>
      <c r="P13" s="47">
        <v>0</v>
      </c>
      <c r="Q13" s="47">
        <v>0</v>
      </c>
      <c r="R13" s="61">
        <v>0</v>
      </c>
      <c r="S13" s="61">
        <v>0</v>
      </c>
      <c r="T13" s="61">
        <v>0</v>
      </c>
      <c r="U13" s="47">
        <v>350000</v>
      </c>
      <c r="V13" s="47">
        <v>350000</v>
      </c>
      <c r="W13" s="47">
        <v>0</v>
      </c>
      <c r="X13" s="62">
        <v>0</v>
      </c>
      <c r="Y13" s="62">
        <f>Q13/O13</f>
        <v>0</v>
      </c>
    </row>
    <row r="14" spans="1:25" ht="22.5" x14ac:dyDescent="0.35">
      <c r="A14" s="8" t="s">
        <v>111</v>
      </c>
      <c r="B14" s="8" t="s">
        <v>8</v>
      </c>
      <c r="C14" s="6">
        <v>6063775.356344495</v>
      </c>
      <c r="D14" s="47">
        <v>840266.55072000006</v>
      </c>
      <c r="E14" s="47">
        <v>1048.1356800000001</v>
      </c>
      <c r="F14" s="61">
        <v>0.14220035456813657</v>
      </c>
      <c r="G14" s="61">
        <v>0.24241089913858321</v>
      </c>
      <c r="H14" s="61">
        <v>1415894.393851636</v>
      </c>
      <c r="I14" s="47">
        <v>9957038.4205561001</v>
      </c>
      <c r="J14" s="47">
        <v>5840885.8631483698</v>
      </c>
      <c r="K14" s="47">
        <v>0</v>
      </c>
      <c r="L14" s="107">
        <f>C14/D14</f>
        <v>7.2164902329488445</v>
      </c>
      <c r="M14" s="137">
        <f>C14/E14</f>
        <v>5785.2961902265306</v>
      </c>
      <c r="O14" s="6">
        <v>6063775.356344495</v>
      </c>
      <c r="P14" s="47">
        <v>840266.55072000006</v>
      </c>
      <c r="Q14" s="47">
        <v>1048.1356800000001</v>
      </c>
      <c r="R14" s="61">
        <v>0.14050173005912062</v>
      </c>
      <c r="S14" s="61">
        <v>0.23951523058852983</v>
      </c>
      <c r="T14" s="61">
        <v>1398981.1243532659</v>
      </c>
      <c r="U14" s="47">
        <v>9957038.4205561001</v>
      </c>
      <c r="V14" s="47">
        <v>5840885.8631483698</v>
      </c>
      <c r="W14" s="47">
        <v>0</v>
      </c>
      <c r="X14" s="107">
        <f>O14/P14</f>
        <v>7.2164902329488445</v>
      </c>
      <c r="Y14" s="137">
        <f>O14/Q14</f>
        <v>5785.2961902265306</v>
      </c>
    </row>
    <row r="15" spans="1:25" ht="22.5" x14ac:dyDescent="0.35">
      <c r="A15" s="7" t="s">
        <v>112</v>
      </c>
      <c r="B15" s="7" t="s">
        <v>9</v>
      </c>
      <c r="C15" s="63"/>
      <c r="D15" s="63"/>
      <c r="E15" s="63"/>
      <c r="F15" s="63"/>
      <c r="G15" s="63"/>
      <c r="H15" s="63"/>
      <c r="I15" s="145"/>
      <c r="J15" s="145"/>
      <c r="K15" s="97"/>
      <c r="L15" s="118"/>
      <c r="M15" s="118"/>
      <c r="O15" s="63"/>
      <c r="P15" s="63"/>
      <c r="Q15" s="63"/>
      <c r="R15" s="63"/>
      <c r="S15" s="63"/>
      <c r="T15" s="63"/>
      <c r="U15" s="145"/>
      <c r="V15" s="145"/>
      <c r="W15" s="97"/>
      <c r="X15" s="118"/>
      <c r="Y15" s="118"/>
    </row>
    <row r="16" spans="1:25" ht="22.5" x14ac:dyDescent="0.35">
      <c r="A16" s="7" t="s">
        <v>209</v>
      </c>
      <c r="B16" s="7" t="s">
        <v>199</v>
      </c>
      <c r="C16" s="6">
        <v>4233905.5040058745</v>
      </c>
      <c r="D16" s="47">
        <v>7964409.7752367696</v>
      </c>
      <c r="E16" s="47">
        <v>3317.3536955671798</v>
      </c>
      <c r="F16" s="61">
        <v>1.6270489035823519</v>
      </c>
      <c r="G16" s="61">
        <v>1.692223057835925</v>
      </c>
      <c r="H16" s="61">
        <v>6739658.3213392179</v>
      </c>
      <c r="I16" s="47">
        <v>4142259.2194372201</v>
      </c>
      <c r="J16" s="47">
        <v>3982724.5528483298</v>
      </c>
      <c r="K16" s="47">
        <v>0</v>
      </c>
      <c r="L16" s="105">
        <f>C16/D16</f>
        <v>0.53160317255022294</v>
      </c>
      <c r="M16" s="61">
        <f>C16/E16</f>
        <v>1276.2900469924082</v>
      </c>
      <c r="O16" s="6">
        <v>3931313.0195334805</v>
      </c>
      <c r="P16" s="47">
        <v>7627417.3582026903</v>
      </c>
      <c r="Q16" s="47">
        <v>3287.52358621752</v>
      </c>
      <c r="R16" s="61">
        <v>1.275361704757648</v>
      </c>
      <c r="S16" s="61">
        <v>1.3254876003339613</v>
      </c>
      <c r="T16" s="61">
        <v>4907239.6116835857</v>
      </c>
      <c r="U16" s="47">
        <v>3847723.8209187798</v>
      </c>
      <c r="V16" s="47">
        <v>3702214.6494974298</v>
      </c>
      <c r="W16" s="47">
        <v>0</v>
      </c>
      <c r="X16" s="105">
        <f>O16/P16</f>
        <v>0.5154186318788051</v>
      </c>
      <c r="Y16" s="61">
        <f>O16/Q16</f>
        <v>1195.8280804478352</v>
      </c>
    </row>
    <row r="17" spans="1:25" ht="22.95" x14ac:dyDescent="0.35">
      <c r="A17" s="3"/>
      <c r="B17" s="3" t="s">
        <v>10</v>
      </c>
      <c r="C17" s="9">
        <f>SUM(C7:C16)</f>
        <v>93846762.216528565</v>
      </c>
      <c r="D17" s="48">
        <f>SUM(D7:D16)</f>
        <v>349456318.77674907</v>
      </c>
      <c r="E17" s="48">
        <f>SUM(E7:E16)</f>
        <v>83626.819228900218</v>
      </c>
      <c r="F17" s="88">
        <f>H17/I17</f>
        <v>1.1297322168195763</v>
      </c>
      <c r="G17" s="88">
        <f>H17/J17</f>
        <v>1.47602345438742</v>
      </c>
      <c r="H17" s="103">
        <f>SUM(H7:H16)</f>
        <v>130928189.26612826</v>
      </c>
      <c r="I17" s="103">
        <f>SUM(I7:I16)</f>
        <v>115893118.13618761</v>
      </c>
      <c r="J17" s="103">
        <f>SUM(J7:J16)</f>
        <v>88703325.734390944</v>
      </c>
      <c r="K17" s="48">
        <f>SUM(K7:K16)</f>
        <v>2242.3877891999996</v>
      </c>
      <c r="L17" s="108">
        <f>C17/D17</f>
        <v>0.26855076635910757</v>
      </c>
      <c r="M17" s="88">
        <f>C17/E17</f>
        <v>1122.2089167310633</v>
      </c>
      <c r="O17" s="9">
        <f>SUM(O7:O16)</f>
        <v>56855637.053085633</v>
      </c>
      <c r="P17" s="48">
        <f>SUM(P7:P16)</f>
        <v>142915486.50161624</v>
      </c>
      <c r="Q17" s="48">
        <f>SUM(Q7:Q16)</f>
        <v>52737.670153562518</v>
      </c>
      <c r="R17" s="88">
        <f>T17/U17</f>
        <v>0.61568487211621548</v>
      </c>
      <c r="S17" s="88">
        <f>T17/V17</f>
        <v>0.82086992103536283</v>
      </c>
      <c r="T17" s="103">
        <f>SUM(T7:T16)</f>
        <v>44664958.491159782</v>
      </c>
      <c r="U17" s="103">
        <f>SUM(U7:U16)</f>
        <v>72545161.516862661</v>
      </c>
      <c r="V17" s="103">
        <f>SUM(V7:V16)</f>
        <v>54411737.288197733</v>
      </c>
      <c r="W17" s="48">
        <f>SUM(W7:W16)</f>
        <v>2242.3877891999996</v>
      </c>
      <c r="X17" s="108">
        <f>O17/P17</f>
        <v>0.39782698463852373</v>
      </c>
      <c r="Y17" s="88">
        <f>O17/Q17</f>
        <v>1078.0839746528875</v>
      </c>
    </row>
    <row r="18" spans="1:25" ht="22.5" x14ac:dyDescent="0.35">
      <c r="A18" s="2"/>
      <c r="B18" s="81"/>
      <c r="C18" s="10"/>
      <c r="D18" s="49"/>
      <c r="E18" s="49"/>
      <c r="F18" s="49"/>
      <c r="G18" s="49"/>
      <c r="H18" s="49"/>
      <c r="I18" s="49"/>
      <c r="J18" s="49"/>
      <c r="K18" s="49"/>
      <c r="L18" s="119"/>
      <c r="M18" s="119"/>
      <c r="O18" s="10"/>
      <c r="P18" s="49"/>
      <c r="Q18" s="49"/>
      <c r="R18" s="49"/>
      <c r="S18" s="49"/>
      <c r="T18" s="49"/>
      <c r="U18" s="49"/>
      <c r="V18" s="49"/>
      <c r="W18" s="49"/>
      <c r="X18" s="119"/>
      <c r="Y18" s="119"/>
    </row>
    <row r="19" spans="1:25" ht="22.95" x14ac:dyDescent="0.35">
      <c r="A19" s="11"/>
      <c r="B19" s="11" t="s">
        <v>11</v>
      </c>
      <c r="C19" s="156"/>
      <c r="D19" s="872"/>
      <c r="E19" s="873"/>
      <c r="F19" s="150"/>
      <c r="G19" s="83"/>
      <c r="H19" s="83"/>
      <c r="I19" s="83"/>
      <c r="J19" s="83"/>
      <c r="K19" s="151"/>
      <c r="L19" s="120"/>
      <c r="M19" s="120"/>
      <c r="O19" s="171"/>
      <c r="P19" s="872"/>
      <c r="Q19" s="873"/>
      <c r="R19" s="165"/>
      <c r="S19" s="83"/>
      <c r="T19" s="83"/>
      <c r="U19" s="83"/>
      <c r="V19" s="83"/>
      <c r="W19" s="166"/>
      <c r="X19" s="120"/>
      <c r="Y19" s="120"/>
    </row>
    <row r="20" spans="1:25" ht="22.5" x14ac:dyDescent="0.35">
      <c r="A20" s="7" t="s">
        <v>113</v>
      </c>
      <c r="B20" s="7" t="s">
        <v>12</v>
      </c>
      <c r="C20" s="6">
        <v>27287863.073755704</v>
      </c>
      <c r="D20" s="47">
        <v>28470220.277424701</v>
      </c>
      <c r="E20" s="47">
        <v>10755.3582563046</v>
      </c>
      <c r="F20" s="61">
        <v>0.80128069036597549</v>
      </c>
      <c r="G20" s="61">
        <v>1.0427705438943571</v>
      </c>
      <c r="H20" s="61">
        <v>27256995.006994326</v>
      </c>
      <c r="I20" s="47">
        <v>34016787.543632202</v>
      </c>
      <c r="J20" s="47">
        <v>26139015.113717798</v>
      </c>
      <c r="K20" s="47">
        <v>4525.8957910755616</v>
      </c>
      <c r="L20" s="105">
        <f>C20/D20</f>
        <v>0.9584703879299965</v>
      </c>
      <c r="M20" s="61">
        <f>C20/E20</f>
        <v>2537.1412484340112</v>
      </c>
      <c r="O20" s="6">
        <v>27287863.073755704</v>
      </c>
      <c r="P20" s="47">
        <v>28470220.277424701</v>
      </c>
      <c r="Q20" s="47">
        <v>10755.3582563046</v>
      </c>
      <c r="R20" s="61">
        <v>0.52411480767534235</v>
      </c>
      <c r="S20" s="61">
        <v>0.68207244930997057</v>
      </c>
      <c r="T20" s="61">
        <v>17828702.061163772</v>
      </c>
      <c r="U20" s="47">
        <v>34016787.543632202</v>
      </c>
      <c r="V20" s="47">
        <v>26139015.113717701</v>
      </c>
      <c r="W20" s="47">
        <v>4525.8957910755616</v>
      </c>
      <c r="X20" s="105">
        <f>O20/P20</f>
        <v>0.9584703879299965</v>
      </c>
      <c r="Y20" s="61">
        <f>O20/Q20</f>
        <v>2537.1412484340112</v>
      </c>
    </row>
    <row r="21" spans="1:25" ht="22.5" x14ac:dyDescent="0.35">
      <c r="A21" s="7" t="s">
        <v>135</v>
      </c>
      <c r="B21" s="7" t="s">
        <v>218</v>
      </c>
      <c r="C21" s="6">
        <v>2253976.2061207751</v>
      </c>
      <c r="D21" s="47">
        <v>4428462.6831857804</v>
      </c>
      <c r="E21" s="47">
        <v>1180.45143587441</v>
      </c>
      <c r="F21" s="61">
        <v>0.83850461062639592</v>
      </c>
      <c r="G21" s="61">
        <v>1.5577255600037487</v>
      </c>
      <c r="H21" s="61">
        <v>3455442.6372609902</v>
      </c>
      <c r="I21" s="47">
        <v>4120958.4222555901</v>
      </c>
      <c r="J21" s="47">
        <v>2218261.4999606698</v>
      </c>
      <c r="K21" s="47">
        <v>0</v>
      </c>
      <c r="L21" s="105">
        <v>0</v>
      </c>
      <c r="M21" s="61">
        <f>C21/E21</f>
        <v>1909.4188355585845</v>
      </c>
      <c r="O21" s="6">
        <v>2237798.3623774857</v>
      </c>
      <c r="P21" s="47">
        <v>4246471.6880737804</v>
      </c>
      <c r="Q21" s="47">
        <v>1170.7044358744099</v>
      </c>
      <c r="R21" s="61">
        <v>0.50802806868292494</v>
      </c>
      <c r="S21" s="61">
        <v>0.9294415240924162</v>
      </c>
      <c r="T21" s="61">
        <v>2047805.31241873</v>
      </c>
      <c r="U21" s="47">
        <v>4030890.0996901901</v>
      </c>
      <c r="V21" s="47">
        <v>2203264.2821918</v>
      </c>
      <c r="W21" s="47">
        <v>0</v>
      </c>
      <c r="X21" s="105">
        <v>0</v>
      </c>
      <c r="Y21" s="61">
        <f>O21/Q21</f>
        <v>1911.4972949650212</v>
      </c>
    </row>
    <row r="22" spans="1:25" ht="22.5" x14ac:dyDescent="0.35">
      <c r="A22" s="12"/>
      <c r="B22" s="12"/>
      <c r="C22" s="13"/>
      <c r="D22" s="49"/>
      <c r="E22" s="49"/>
      <c r="F22" s="49"/>
      <c r="G22" s="49"/>
      <c r="H22" s="49"/>
      <c r="I22" s="143"/>
      <c r="J22" s="143"/>
      <c r="K22" s="49"/>
      <c r="L22" s="119"/>
      <c r="M22" s="119"/>
      <c r="O22" s="13"/>
      <c r="P22" s="49"/>
      <c r="Q22" s="49"/>
      <c r="R22" s="49"/>
      <c r="S22" s="49"/>
      <c r="T22" s="49"/>
      <c r="U22" s="143"/>
      <c r="V22" s="143"/>
      <c r="W22" s="49"/>
      <c r="X22" s="119"/>
      <c r="Y22" s="119"/>
    </row>
    <row r="23" spans="1:25" ht="22.95" x14ac:dyDescent="0.35">
      <c r="A23" s="14"/>
      <c r="B23" s="14" t="s">
        <v>13</v>
      </c>
      <c r="C23" s="157"/>
      <c r="D23" s="874"/>
      <c r="E23" s="875"/>
      <c r="F23" s="152"/>
      <c r="G23" s="84"/>
      <c r="H23" s="84"/>
      <c r="I23" s="144"/>
      <c r="J23" s="144"/>
      <c r="K23" s="153"/>
      <c r="L23" s="121"/>
      <c r="M23" s="121"/>
      <c r="O23" s="172"/>
      <c r="P23" s="874"/>
      <c r="Q23" s="875"/>
      <c r="R23" s="167"/>
      <c r="S23" s="84"/>
      <c r="T23" s="84"/>
      <c r="U23" s="144"/>
      <c r="V23" s="144"/>
      <c r="W23" s="168"/>
      <c r="X23" s="121"/>
      <c r="Y23" s="121"/>
    </row>
    <row r="24" spans="1:25" ht="22.5" x14ac:dyDescent="0.35">
      <c r="A24" s="7" t="s">
        <v>114</v>
      </c>
      <c r="B24" s="7" t="s">
        <v>198</v>
      </c>
      <c r="C24" s="6">
        <v>5495927.7592365323</v>
      </c>
      <c r="D24" s="47">
        <v>41102750.570637502</v>
      </c>
      <c r="E24" s="47">
        <v>4133.4176803379196</v>
      </c>
      <c r="F24" s="61">
        <v>2.3873330670694508</v>
      </c>
      <c r="G24" s="61">
        <v>6.561915424698662</v>
      </c>
      <c r="H24" s="61">
        <v>34713567.187467597</v>
      </c>
      <c r="I24" s="47">
        <v>14540730.686598299</v>
      </c>
      <c r="J24" s="47">
        <v>5290157.6659778003</v>
      </c>
      <c r="K24" s="47">
        <v>146.43234700843379</v>
      </c>
      <c r="L24" s="105">
        <f t="shared" ref="L24:L32" si="0">C24/D24</f>
        <v>0.13371192153652725</v>
      </c>
      <c r="M24" s="61">
        <f t="shared" ref="M24:M32" si="1">C24/E24</f>
        <v>1329.6328085544994</v>
      </c>
      <c r="O24" s="6">
        <v>5367499.9531956846</v>
      </c>
      <c r="P24" s="47">
        <v>25790289.838028301</v>
      </c>
      <c r="Q24" s="47">
        <v>4080.3048596357498</v>
      </c>
      <c r="R24" s="61">
        <v>1.1061702317285069</v>
      </c>
      <c r="S24" s="61">
        <v>3.0837222530890416</v>
      </c>
      <c r="T24" s="61">
        <v>15946243.1083354</v>
      </c>
      <c r="U24" s="47">
        <v>14415722.509019</v>
      </c>
      <c r="V24" s="47">
        <v>5171102.2587594101</v>
      </c>
      <c r="W24" s="47">
        <v>146.43234700843379</v>
      </c>
      <c r="X24" s="105">
        <f t="shared" ref="X24:X32" si="2">O24/P24</f>
        <v>0.2081209628470789</v>
      </c>
      <c r="Y24" s="61">
        <f t="shared" ref="Y24:Y32" si="3">O24/Q24</f>
        <v>1315.465421785872</v>
      </c>
    </row>
    <row r="25" spans="1:25" ht="22.5" x14ac:dyDescent="0.35">
      <c r="A25" s="7" t="s">
        <v>115</v>
      </c>
      <c r="B25" s="7" t="s">
        <v>14</v>
      </c>
      <c r="C25" s="6">
        <v>8452014.8888434023</v>
      </c>
      <c r="D25" s="47">
        <v>39362643.575999998</v>
      </c>
      <c r="E25" s="47">
        <v>6569.8919999999998</v>
      </c>
      <c r="F25" s="61">
        <v>3.0140531968072528</v>
      </c>
      <c r="G25" s="61">
        <v>4.1211674182009599</v>
      </c>
      <c r="H25" s="61">
        <v>33289562.0342944</v>
      </c>
      <c r="I25" s="47">
        <v>11044782.5106596</v>
      </c>
      <c r="J25" s="47">
        <v>8077701.9364155103</v>
      </c>
      <c r="K25" s="47">
        <v>0</v>
      </c>
      <c r="L25" s="105">
        <f t="shared" si="0"/>
        <v>0.21472172905573661</v>
      </c>
      <c r="M25" s="61">
        <f t="shared" si="1"/>
        <v>1286.4769906177153</v>
      </c>
      <c r="O25" s="6">
        <v>8452014.8888434023</v>
      </c>
      <c r="P25" s="47">
        <v>39362643.575999998</v>
      </c>
      <c r="Q25" s="47">
        <v>6569.8919999999998</v>
      </c>
      <c r="R25" s="61">
        <v>1.9134709570489836</v>
      </c>
      <c r="S25" s="61">
        <v>2.6163221578893614</v>
      </c>
      <c r="T25" s="61">
        <v>21133870.561069701</v>
      </c>
      <c r="U25" s="47">
        <v>11044782.5106596</v>
      </c>
      <c r="V25" s="47">
        <v>8077701.9364155103</v>
      </c>
      <c r="W25" s="47">
        <v>0</v>
      </c>
      <c r="X25" s="105">
        <f t="shared" si="2"/>
        <v>0.21472172905573661</v>
      </c>
      <c r="Y25" s="61">
        <f t="shared" si="3"/>
        <v>1286.4769906177153</v>
      </c>
    </row>
    <row r="26" spans="1:25" ht="22.5" x14ac:dyDescent="0.35">
      <c r="A26" s="7" t="s">
        <v>116</v>
      </c>
      <c r="B26" s="7" t="s">
        <v>15</v>
      </c>
      <c r="C26" s="6">
        <v>6859364.5124333706</v>
      </c>
      <c r="D26" s="47">
        <v>27967440.8711266</v>
      </c>
      <c r="E26" s="47">
        <v>4427.0780132426298</v>
      </c>
      <c r="F26" s="61">
        <v>2.8056862645191116</v>
      </c>
      <c r="G26" s="61">
        <v>3.5734918691164053</v>
      </c>
      <c r="H26" s="61">
        <v>23747505.072407097</v>
      </c>
      <c r="I26" s="47">
        <v>8464062.9184807893</v>
      </c>
      <c r="J26" s="47">
        <v>6645462.18158291</v>
      </c>
      <c r="K26" s="47">
        <v>30.196009218276515</v>
      </c>
      <c r="L26" s="105">
        <f t="shared" si="0"/>
        <v>0.24526250163685634</v>
      </c>
      <c r="M26" s="61">
        <f t="shared" si="1"/>
        <v>1549.4112576997945</v>
      </c>
      <c r="O26" s="6">
        <v>6612789.5124333706</v>
      </c>
      <c r="P26" s="47">
        <v>25704739.819623198</v>
      </c>
      <c r="Q26" s="47">
        <v>4424.1132229638297</v>
      </c>
      <c r="R26" s="61">
        <v>1.8717228827388428</v>
      </c>
      <c r="S26" s="61">
        <v>2.3504524457030076</v>
      </c>
      <c r="T26" s="61">
        <v>15082575.335306579</v>
      </c>
      <c r="U26" s="47">
        <v>8058124.1349342503</v>
      </c>
      <c r="V26" s="47">
        <v>6416881.7211681399</v>
      </c>
      <c r="W26" s="47">
        <v>30.196009218276515</v>
      </c>
      <c r="X26" s="105">
        <f t="shared" si="2"/>
        <v>0.25725953885691993</v>
      </c>
      <c r="Y26" s="61">
        <f t="shared" si="3"/>
        <v>1494.7152523377983</v>
      </c>
    </row>
    <row r="27" spans="1:25" ht="22.5" x14ac:dyDescent="0.35">
      <c r="A27" s="7" t="s">
        <v>117</v>
      </c>
      <c r="B27" s="7" t="s">
        <v>16</v>
      </c>
      <c r="C27" s="6">
        <v>3337528.9773084675</v>
      </c>
      <c r="D27" s="47">
        <v>11107044.327913901</v>
      </c>
      <c r="E27" s="47">
        <v>1422.3419604712101</v>
      </c>
      <c r="F27" s="61">
        <v>0.82025119704268101</v>
      </c>
      <c r="G27" s="61">
        <v>2.4973672517884884</v>
      </c>
      <c r="H27" s="61">
        <v>8095550.99828183</v>
      </c>
      <c r="I27" s="47">
        <v>9869599.7366043292</v>
      </c>
      <c r="J27" s="47">
        <v>3241634.1619296102</v>
      </c>
      <c r="K27" s="47">
        <v>50.517841718619223</v>
      </c>
      <c r="L27" s="105">
        <f t="shared" si="0"/>
        <v>0.30048758956698196</v>
      </c>
      <c r="M27" s="61">
        <f t="shared" si="1"/>
        <v>2346.5025078798717</v>
      </c>
      <c r="O27" s="6">
        <v>3328123.2769295448</v>
      </c>
      <c r="P27" s="47">
        <v>10386790.0605889</v>
      </c>
      <c r="Q27" s="47">
        <v>1422.31142650723</v>
      </c>
      <c r="R27" s="61">
        <v>0.50007842392584223</v>
      </c>
      <c r="S27" s="61">
        <v>1.5252475653537494</v>
      </c>
      <c r="T27" s="61">
        <v>4930995.5349855404</v>
      </c>
      <c r="U27" s="47">
        <v>9860444.4804376699</v>
      </c>
      <c r="V27" s="47">
        <v>3232914.8703423101</v>
      </c>
      <c r="W27" s="47">
        <v>50.517841718619223</v>
      </c>
      <c r="X27" s="105">
        <f t="shared" si="2"/>
        <v>0.32041884523666303</v>
      </c>
      <c r="Y27" s="61">
        <f t="shared" si="3"/>
        <v>2339.9399139346133</v>
      </c>
    </row>
    <row r="28" spans="1:25" ht="22.5" x14ac:dyDescent="0.35">
      <c r="A28" s="7" t="s">
        <v>118</v>
      </c>
      <c r="B28" s="7" t="s">
        <v>17</v>
      </c>
      <c r="C28" s="6">
        <v>1251201.9201551192</v>
      </c>
      <c r="D28" s="47">
        <v>1429078.6171206001</v>
      </c>
      <c r="E28" s="47">
        <v>245.77993499999999</v>
      </c>
      <c r="F28" s="61">
        <v>0.76130771520040263</v>
      </c>
      <c r="G28" s="61">
        <v>0.89428204318175664</v>
      </c>
      <c r="H28" s="61">
        <v>1107279.14791932</v>
      </c>
      <c r="I28" s="47">
        <v>1454443.61827838</v>
      </c>
      <c r="J28" s="47">
        <v>1238176.6539555499</v>
      </c>
      <c r="K28" s="47">
        <v>15.750109999999999</v>
      </c>
      <c r="L28" s="105">
        <f t="shared" si="0"/>
        <v>0.87553050277676225</v>
      </c>
      <c r="M28" s="61">
        <f t="shared" si="1"/>
        <v>5090.7407073531822</v>
      </c>
      <c r="O28" s="6">
        <v>1194176.9201551192</v>
      </c>
      <c r="P28" s="47">
        <v>857990.81712060003</v>
      </c>
      <c r="Q28" s="47">
        <v>236.347229</v>
      </c>
      <c r="R28" s="61">
        <v>0.3986633013710042</v>
      </c>
      <c r="S28" s="61">
        <v>0.44397785629338027</v>
      </c>
      <c r="T28" s="61">
        <v>526252.82330246537</v>
      </c>
      <c r="U28" s="47">
        <v>1320043.3084577399</v>
      </c>
      <c r="V28" s="47">
        <v>1185313.2219159999</v>
      </c>
      <c r="W28" s="47">
        <v>15.750109999999999</v>
      </c>
      <c r="X28" s="105">
        <f t="shared" si="2"/>
        <v>1.3918294885285054</v>
      </c>
      <c r="Y28" s="61">
        <f t="shared" si="3"/>
        <v>5052.6377026198143</v>
      </c>
    </row>
    <row r="29" spans="1:25" ht="22.5" x14ac:dyDescent="0.35">
      <c r="A29" s="7" t="s">
        <v>119</v>
      </c>
      <c r="B29" s="7" t="s">
        <v>18</v>
      </c>
      <c r="C29" s="6">
        <v>1119770.1857853716</v>
      </c>
      <c r="D29" s="47">
        <v>3043005.2127</v>
      </c>
      <c r="E29" s="47">
        <v>611.79392213360995</v>
      </c>
      <c r="F29" s="61">
        <v>0.79626029399787568</v>
      </c>
      <c r="G29" s="61">
        <v>1.3018937281078267</v>
      </c>
      <c r="H29" s="61">
        <v>1413863.5575268699</v>
      </c>
      <c r="I29" s="47">
        <v>1775629.86398345</v>
      </c>
      <c r="J29" s="47">
        <v>1086005.3528192199</v>
      </c>
      <c r="K29" s="47">
        <v>30.328597772754812</v>
      </c>
      <c r="L29" s="105">
        <f t="shared" si="0"/>
        <v>0.36798168505003021</v>
      </c>
      <c r="M29" s="61">
        <f t="shared" si="1"/>
        <v>1830.3061623760696</v>
      </c>
      <c r="O29" s="6">
        <v>1029072.9727765052</v>
      </c>
      <c r="P29" s="47">
        <v>2513985.1655624998</v>
      </c>
      <c r="Q29" s="47">
        <v>611.79392213360995</v>
      </c>
      <c r="R29" s="61">
        <v>0.37180983819327779</v>
      </c>
      <c r="S29" s="61">
        <v>0.62026835572004413</v>
      </c>
      <c r="T29" s="61">
        <v>621463.63582973497</v>
      </c>
      <c r="U29" s="47">
        <v>1671455.5990492101</v>
      </c>
      <c r="V29" s="47">
        <v>1001927.0370617301</v>
      </c>
      <c r="W29" s="47">
        <v>30.328597772754812</v>
      </c>
      <c r="X29" s="105">
        <f t="shared" si="2"/>
        <v>0.40933931785800809</v>
      </c>
      <c r="Y29" s="61">
        <f t="shared" si="3"/>
        <v>1682.0581825782922</v>
      </c>
    </row>
    <row r="30" spans="1:25" ht="22.5" x14ac:dyDescent="0.35">
      <c r="A30" s="7" t="s">
        <v>120</v>
      </c>
      <c r="B30" s="7" t="s">
        <v>19</v>
      </c>
      <c r="C30" s="6">
        <v>215865.68084181397</v>
      </c>
      <c r="D30" s="47">
        <v>13920</v>
      </c>
      <c r="E30" s="47">
        <v>3.1469999999999998</v>
      </c>
      <c r="F30" s="61">
        <v>6.5289597742982305E-2</v>
      </c>
      <c r="G30" s="61">
        <v>6.5439837161853379E-2</v>
      </c>
      <c r="H30" s="61">
        <v>14119.481314653878</v>
      </c>
      <c r="I30" s="47">
        <v>216259.278702196</v>
      </c>
      <c r="J30" s="47">
        <v>215762.78192337099</v>
      </c>
      <c r="K30" s="47">
        <v>0</v>
      </c>
      <c r="L30" s="105">
        <f t="shared" si="0"/>
        <v>15.50759201449813</v>
      </c>
      <c r="M30" s="61">
        <f t="shared" si="1"/>
        <v>68594.115297684781</v>
      </c>
      <c r="O30" s="6">
        <v>214455.68084181397</v>
      </c>
      <c r="P30" s="47">
        <v>0</v>
      </c>
      <c r="Q30" s="47">
        <v>0</v>
      </c>
      <c r="R30" s="61">
        <v>0</v>
      </c>
      <c r="S30" s="61">
        <v>0</v>
      </c>
      <c r="T30" s="61">
        <v>0</v>
      </c>
      <c r="U30" s="47">
        <v>214455.680841814</v>
      </c>
      <c r="V30" s="47">
        <v>214455.680841814</v>
      </c>
      <c r="W30" s="47">
        <v>0</v>
      </c>
      <c r="X30" s="105" t="e">
        <f t="shared" si="2"/>
        <v>#DIV/0!</v>
      </c>
      <c r="Y30" s="61" t="e">
        <f t="shared" si="3"/>
        <v>#DIV/0!</v>
      </c>
    </row>
    <row r="31" spans="1:25" ht="22.5" x14ac:dyDescent="0.35">
      <c r="A31" s="7" t="s">
        <v>121</v>
      </c>
      <c r="B31" s="7" t="s">
        <v>20</v>
      </c>
      <c r="C31" s="6">
        <v>9227226.9701092523</v>
      </c>
      <c r="D31" s="47">
        <v>22210054.466499999</v>
      </c>
      <c r="E31" s="47">
        <v>6891.5982639499998</v>
      </c>
      <c r="F31" s="61">
        <v>1.1989442367280845</v>
      </c>
      <c r="G31" s="61">
        <v>1.8142872369624028</v>
      </c>
      <c r="H31" s="61">
        <v>15721807.249237549</v>
      </c>
      <c r="I31" s="47">
        <v>13113042.9319568</v>
      </c>
      <c r="J31" s="47">
        <v>8665555.7780145202</v>
      </c>
      <c r="K31" s="47">
        <v>0</v>
      </c>
      <c r="L31" s="105">
        <f t="shared" si="0"/>
        <v>0.41545269436537935</v>
      </c>
      <c r="M31" s="61">
        <f t="shared" si="1"/>
        <v>1338.909584787747</v>
      </c>
      <c r="O31" s="6">
        <v>8910473.9701092523</v>
      </c>
      <c r="P31" s="47">
        <v>20080353.566500001</v>
      </c>
      <c r="Q31" s="47">
        <v>6188.7070739500004</v>
      </c>
      <c r="R31" s="61">
        <v>0.75490597729150444</v>
      </c>
      <c r="S31" s="61">
        <v>1.1399187031272597</v>
      </c>
      <c r="T31" s="61">
        <v>9543306.7808523774</v>
      </c>
      <c r="U31" s="47">
        <v>12641715.747293999</v>
      </c>
      <c r="V31" s="47">
        <v>8371918.76461998</v>
      </c>
      <c r="W31" s="47">
        <v>0</v>
      </c>
      <c r="X31" s="105">
        <f t="shared" si="2"/>
        <v>0.44374089034839365</v>
      </c>
      <c r="Y31" s="61">
        <f t="shared" si="3"/>
        <v>1439.7957220524995</v>
      </c>
    </row>
    <row r="32" spans="1:25" ht="22.95" x14ac:dyDescent="0.35">
      <c r="A32" s="14"/>
      <c r="B32" s="14" t="s">
        <v>21</v>
      </c>
      <c r="C32" s="15">
        <f>SUM(C24:C31)</f>
        <v>35958900.894713327</v>
      </c>
      <c r="D32" s="50">
        <f>SUM(D24:D31)</f>
        <v>146235937.64199859</v>
      </c>
      <c r="E32" s="50">
        <f>SUM(E24:E31)</f>
        <v>24305.048775135368</v>
      </c>
      <c r="F32" s="89">
        <f>H32/I32</f>
        <v>1.9528122236865668</v>
      </c>
      <c r="G32" s="89">
        <f>H32/J32</f>
        <v>3.4272109739812389</v>
      </c>
      <c r="H32" s="102">
        <f>SUM(H24:H31)</f>
        <v>118103254.72844934</v>
      </c>
      <c r="I32" s="102">
        <f>SUM(I24:I31)</f>
        <v>60478551.545263849</v>
      </c>
      <c r="J32" s="102">
        <f>SUM(J24:J31)</f>
        <v>34460456.51261849</v>
      </c>
      <c r="K32" s="50">
        <f>SUM(K24:K31)</f>
        <v>273.22490571808436</v>
      </c>
      <c r="L32" s="109">
        <f t="shared" si="0"/>
        <v>0.24589647028314346</v>
      </c>
      <c r="M32" s="138">
        <f t="shared" si="1"/>
        <v>1479.4827703246629</v>
      </c>
      <c r="O32" s="15">
        <f>SUM(O24:O31)</f>
        <v>35108607.175284699</v>
      </c>
      <c r="P32" s="50">
        <f>SUM(P24:P31)</f>
        <v>124696792.84342349</v>
      </c>
      <c r="Q32" s="50">
        <f>SUM(Q24:Q31)</f>
        <v>23533.469734190418</v>
      </c>
      <c r="R32" s="89">
        <f>T32/U32</f>
        <v>1.1444949229899113</v>
      </c>
      <c r="S32" s="89">
        <f>T32/V32</f>
        <v>2.0130753735983915</v>
      </c>
      <c r="T32" s="102">
        <f>SUM(T24:T31)</f>
        <v>67784707.779681802</v>
      </c>
      <c r="U32" s="102">
        <f>SUM(U24:U31)</f>
        <v>59226743.970693283</v>
      </c>
      <c r="V32" s="102">
        <f>SUM(V24:V31)</f>
        <v>33672215.491124898</v>
      </c>
      <c r="W32" s="50">
        <f>SUM(W24:W31)</f>
        <v>273.22490571808436</v>
      </c>
      <c r="X32" s="109">
        <f t="shared" si="2"/>
        <v>0.2815518055814723</v>
      </c>
      <c r="Y32" s="138">
        <f t="shared" si="3"/>
        <v>1491.85851350587</v>
      </c>
    </row>
    <row r="33" spans="1:25" ht="22.5" x14ac:dyDescent="0.35">
      <c r="A33" s="49"/>
      <c r="B33" s="12"/>
      <c r="C33" s="13"/>
      <c r="D33" s="49"/>
      <c r="E33" s="49"/>
      <c r="F33" s="49"/>
      <c r="G33" s="49"/>
      <c r="H33" s="49"/>
      <c r="I33" s="49"/>
      <c r="J33" s="49"/>
      <c r="K33" s="49"/>
      <c r="L33" s="119"/>
      <c r="M33" s="119"/>
      <c r="O33" s="13"/>
      <c r="P33" s="49"/>
      <c r="Q33" s="49"/>
      <c r="R33" s="49"/>
      <c r="S33" s="49"/>
      <c r="T33" s="49"/>
      <c r="U33" s="49"/>
      <c r="V33" s="49"/>
      <c r="W33" s="49"/>
      <c r="X33" s="119"/>
      <c r="Y33" s="119"/>
    </row>
    <row r="34" spans="1:25" ht="22.95" x14ac:dyDescent="0.35">
      <c r="A34" s="16"/>
      <c r="B34" s="16" t="s">
        <v>22</v>
      </c>
      <c r="C34" s="158"/>
      <c r="D34" s="876"/>
      <c r="E34" s="877"/>
      <c r="F34" s="154"/>
      <c r="G34" s="85"/>
      <c r="H34" s="85"/>
      <c r="I34" s="85"/>
      <c r="J34" s="85"/>
      <c r="K34" s="155"/>
      <c r="L34" s="122"/>
      <c r="M34" s="122"/>
      <c r="O34" s="173"/>
      <c r="P34" s="876"/>
      <c r="Q34" s="877"/>
      <c r="R34" s="169"/>
      <c r="S34" s="85"/>
      <c r="T34" s="85"/>
      <c r="U34" s="85"/>
      <c r="V34" s="85"/>
      <c r="W34" s="170"/>
      <c r="X34" s="122"/>
      <c r="Y34" s="122"/>
    </row>
    <row r="35" spans="1:25" ht="22.5" x14ac:dyDescent="0.35">
      <c r="A35" s="7"/>
      <c r="B35" s="7" t="s">
        <v>23</v>
      </c>
      <c r="C35" s="87"/>
      <c r="D35" s="87"/>
      <c r="E35" s="87"/>
      <c r="F35" s="87"/>
      <c r="G35" s="87"/>
      <c r="H35" s="87"/>
      <c r="I35" s="87"/>
      <c r="J35" s="87"/>
      <c r="K35" s="97"/>
      <c r="L35" s="96"/>
      <c r="M35" s="96"/>
      <c r="O35" s="87"/>
      <c r="P35" s="87"/>
      <c r="Q35" s="87"/>
      <c r="R35" s="87"/>
      <c r="S35" s="87"/>
      <c r="T35" s="87"/>
      <c r="U35" s="87"/>
      <c r="V35" s="87"/>
      <c r="W35" s="97"/>
      <c r="X35" s="96"/>
      <c r="Y35" s="96"/>
    </row>
    <row r="36" spans="1:25" ht="22.5" x14ac:dyDescent="0.35">
      <c r="A36" s="7" t="s">
        <v>122</v>
      </c>
      <c r="B36" s="7" t="s">
        <v>24</v>
      </c>
      <c r="C36" s="6">
        <v>975627.24497712532</v>
      </c>
      <c r="D36" s="47">
        <v>2427066.9592400002</v>
      </c>
      <c r="E36" s="47">
        <v>217.77666805999999</v>
      </c>
      <c r="F36" s="61">
        <v>1.6928911490220759</v>
      </c>
      <c r="G36" s="61">
        <v>2.6490498779627374</v>
      </c>
      <c r="H36" s="61">
        <v>2532897.56572551</v>
      </c>
      <c r="I36" s="47">
        <v>1496196.35449608</v>
      </c>
      <c r="J36" s="47">
        <v>956153.21810151997</v>
      </c>
      <c r="K36" s="47">
        <v>0</v>
      </c>
      <c r="L36" s="105">
        <f t="shared" ref="L36:L44" si="4">C36/D36</f>
        <v>0.40197788580279981</v>
      </c>
      <c r="M36" s="61">
        <f t="shared" ref="M36:M44" si="5">C36/E36</f>
        <v>4479.9438510480322</v>
      </c>
      <c r="O36" s="6">
        <v>970844.21217712527</v>
      </c>
      <c r="P36" s="47">
        <v>2373257.8402399998</v>
      </c>
      <c r="Q36" s="47">
        <v>217.77666805999999</v>
      </c>
      <c r="R36" s="61">
        <v>1.1909507893309401</v>
      </c>
      <c r="S36" s="61">
        <v>1.8502364730696941</v>
      </c>
      <c r="T36" s="61">
        <v>1760905.65230218</v>
      </c>
      <c r="U36" s="47">
        <v>1478571.2962090001</v>
      </c>
      <c r="V36" s="47">
        <v>951719.24126038502</v>
      </c>
      <c r="W36" s="47">
        <v>0</v>
      </c>
      <c r="X36" s="105">
        <f t="shared" ref="X36:X44" si="6">O36/P36</f>
        <v>0.4090765848176644</v>
      </c>
      <c r="Y36" s="61">
        <f t="shared" ref="Y36:Y44" si="7">O36/Q36</f>
        <v>4457.9808334180525</v>
      </c>
    </row>
    <row r="37" spans="1:25" ht="22.5" x14ac:dyDescent="0.35">
      <c r="A37" s="7" t="s">
        <v>123</v>
      </c>
      <c r="B37" s="7" t="s">
        <v>25</v>
      </c>
      <c r="C37" s="6">
        <v>957726.64465546643</v>
      </c>
      <c r="D37" s="47">
        <v>2652656.8055799999</v>
      </c>
      <c r="E37" s="47">
        <v>301.84113406</v>
      </c>
      <c r="F37" s="61">
        <v>1.42883087884017</v>
      </c>
      <c r="G37" s="61">
        <v>2.5808774646450026</v>
      </c>
      <c r="H37" s="61">
        <v>2421308.1758715142</v>
      </c>
      <c r="I37" s="47">
        <v>1694607.9565672399</v>
      </c>
      <c r="J37" s="47">
        <v>938172.46616338799</v>
      </c>
      <c r="K37" s="47">
        <v>0</v>
      </c>
      <c r="L37" s="105">
        <f t="shared" si="4"/>
        <v>0.36104430947902466</v>
      </c>
      <c r="M37" s="61">
        <f t="shared" si="5"/>
        <v>3172.9493981595278</v>
      </c>
      <c r="O37" s="6">
        <v>954718.43665546644</v>
      </c>
      <c r="P37" s="47">
        <v>2618814.4655800001</v>
      </c>
      <c r="Q37" s="47">
        <v>301.84113406</v>
      </c>
      <c r="R37" s="61">
        <v>0.97528571731280933</v>
      </c>
      <c r="S37" s="61">
        <v>1.7553392797644938</v>
      </c>
      <c r="T37" s="61">
        <v>1641915.9100596046</v>
      </c>
      <c r="U37" s="47">
        <v>1683522.9727177301</v>
      </c>
      <c r="V37" s="47">
        <v>935383.79103548196</v>
      </c>
      <c r="W37" s="47">
        <v>0</v>
      </c>
      <c r="X37" s="105">
        <f t="shared" si="6"/>
        <v>0.36456131169415273</v>
      </c>
      <c r="Y37" s="61">
        <f t="shared" si="7"/>
        <v>3162.9832018378497</v>
      </c>
    </row>
    <row r="38" spans="1:25" ht="22.5" x14ac:dyDescent="0.35">
      <c r="A38" s="7" t="s">
        <v>124</v>
      </c>
      <c r="B38" s="7" t="s">
        <v>26</v>
      </c>
      <c r="C38" s="6">
        <v>1196232.8227563512</v>
      </c>
      <c r="D38" s="47">
        <v>3258844.5</v>
      </c>
      <c r="E38" s="47">
        <v>213.55482348000001</v>
      </c>
      <c r="F38" s="61">
        <v>1.4508654813967685</v>
      </c>
      <c r="G38" s="61">
        <v>2.362849563278751</v>
      </c>
      <c r="H38" s="61">
        <v>2771193.4306777776</v>
      </c>
      <c r="I38" s="47">
        <v>1910027.8187126699</v>
      </c>
      <c r="J38" s="47">
        <v>1172818.3942579899</v>
      </c>
      <c r="K38" s="47">
        <v>0</v>
      </c>
      <c r="L38" s="105">
        <f t="shared" si="4"/>
        <v>0.36707269179500623</v>
      </c>
      <c r="M38" s="61">
        <f t="shared" si="5"/>
        <v>5601.5256563305002</v>
      </c>
      <c r="O38" s="6">
        <v>1138497.6227563513</v>
      </c>
      <c r="P38" s="47">
        <v>2609323.5</v>
      </c>
      <c r="Q38" s="47">
        <v>213.55482348000001</v>
      </c>
      <c r="R38" s="61">
        <v>0.84354747602783076</v>
      </c>
      <c r="S38" s="61">
        <v>1.279138282309056</v>
      </c>
      <c r="T38" s="61">
        <v>1431735.1190146599</v>
      </c>
      <c r="U38" s="47">
        <v>1697278.6472630301</v>
      </c>
      <c r="V38" s="47">
        <v>1119296.5911630299</v>
      </c>
      <c r="W38" s="47">
        <v>0</v>
      </c>
      <c r="X38" s="105">
        <f t="shared" si="6"/>
        <v>0.43631907762925953</v>
      </c>
      <c r="Y38" s="61">
        <f t="shared" si="7"/>
        <v>5331.1725963566196</v>
      </c>
    </row>
    <row r="39" spans="1:25" ht="22.5" x14ac:dyDescent="0.35">
      <c r="A39" s="7" t="s">
        <v>125</v>
      </c>
      <c r="B39" s="7" t="s">
        <v>27</v>
      </c>
      <c r="C39" s="6">
        <v>3529596.7940931069</v>
      </c>
      <c r="D39" s="47">
        <v>14599388.8843309</v>
      </c>
      <c r="E39" s="47">
        <v>2170.5784915015402</v>
      </c>
      <c r="F39" s="61">
        <v>1.1687225801187642</v>
      </c>
      <c r="G39" s="61">
        <v>2.9932259246707154</v>
      </c>
      <c r="H39" s="61">
        <v>10158233.999563901</v>
      </c>
      <c r="I39" s="47">
        <v>8691741.0276539996</v>
      </c>
      <c r="J39" s="47">
        <v>3393741.1525932201</v>
      </c>
      <c r="K39" s="47">
        <v>0</v>
      </c>
      <c r="L39" s="105">
        <f t="shared" si="4"/>
        <v>0.24176332461979422</v>
      </c>
      <c r="M39" s="61">
        <f t="shared" si="5"/>
        <v>1626.108803672628</v>
      </c>
      <c r="O39" s="6">
        <v>3454244.2901668842</v>
      </c>
      <c r="P39" s="47">
        <v>13747980.847913099</v>
      </c>
      <c r="Q39" s="47">
        <v>2170.5784915015402</v>
      </c>
      <c r="R39" s="61">
        <v>0.70226930648871411</v>
      </c>
      <c r="S39" s="61">
        <v>1.7770880016201256</v>
      </c>
      <c r="T39" s="61">
        <v>5906840.9866710203</v>
      </c>
      <c r="U39" s="47">
        <v>8411076.6796924602</v>
      </c>
      <c r="V39" s="47">
        <v>3323887.7204088401</v>
      </c>
      <c r="W39" s="47">
        <v>0</v>
      </c>
      <c r="X39" s="105">
        <f t="shared" si="6"/>
        <v>0.25125466265769697</v>
      </c>
      <c r="Y39" s="61">
        <f t="shared" si="7"/>
        <v>1591.3934021235707</v>
      </c>
    </row>
    <row r="40" spans="1:25" ht="22.5" x14ac:dyDescent="0.35">
      <c r="A40" s="7" t="s">
        <v>126</v>
      </c>
      <c r="B40" s="7" t="s">
        <v>28</v>
      </c>
      <c r="C40" s="6">
        <v>6677536.7183089592</v>
      </c>
      <c r="D40" s="47">
        <v>29969578.538721401</v>
      </c>
      <c r="E40" s="47">
        <v>3178.6142316229302</v>
      </c>
      <c r="F40" s="61">
        <v>1.8805871085106238</v>
      </c>
      <c r="G40" s="61">
        <v>3.4839105695809973</v>
      </c>
      <c r="H40" s="61">
        <v>22415890.309328198</v>
      </c>
      <c r="I40" s="47">
        <v>11919623.5090014</v>
      </c>
      <c r="J40" s="47">
        <v>6434117.5990703199</v>
      </c>
      <c r="K40" s="47">
        <v>0</v>
      </c>
      <c r="L40" s="105">
        <f t="shared" si="4"/>
        <v>0.22281049797485222</v>
      </c>
      <c r="M40" s="61">
        <f t="shared" si="5"/>
        <v>2100.7697794455403</v>
      </c>
      <c r="O40" s="6">
        <v>6677536.7183089592</v>
      </c>
      <c r="P40" s="47">
        <v>29969578.538721401</v>
      </c>
      <c r="Q40" s="47">
        <v>3178.6142316229302</v>
      </c>
      <c r="R40" s="61">
        <v>1.2431591720112993</v>
      </c>
      <c r="S40" s="61">
        <v>2.3030336427605373</v>
      </c>
      <c r="T40" s="61">
        <v>14817989.2921366</v>
      </c>
      <c r="U40" s="47">
        <v>11919623.5090014</v>
      </c>
      <c r="V40" s="47">
        <v>6434117.5990703199</v>
      </c>
      <c r="W40" s="47">
        <v>0</v>
      </c>
      <c r="X40" s="105">
        <f t="shared" si="6"/>
        <v>0.22281049797485222</v>
      </c>
      <c r="Y40" s="61">
        <f t="shared" si="7"/>
        <v>2100.7697794455403</v>
      </c>
    </row>
    <row r="41" spans="1:25" ht="22.5" x14ac:dyDescent="0.35">
      <c r="A41" s="7" t="s">
        <v>127</v>
      </c>
      <c r="B41" s="7" t="s">
        <v>29</v>
      </c>
      <c r="C41" s="6">
        <v>2968150.6187020014</v>
      </c>
      <c r="D41" s="47">
        <v>15581435.0974677</v>
      </c>
      <c r="E41" s="47">
        <v>998.44002365358199</v>
      </c>
      <c r="F41" s="61">
        <v>1.2576675828364137</v>
      </c>
      <c r="G41" s="61">
        <v>1.7175929584487351</v>
      </c>
      <c r="H41" s="61">
        <v>4903568.4638861502</v>
      </c>
      <c r="I41" s="47">
        <v>3898938.4244341799</v>
      </c>
      <c r="J41" s="47">
        <v>2854907.1767940102</v>
      </c>
      <c r="K41" s="47">
        <v>0</v>
      </c>
      <c r="L41" s="105">
        <f t="shared" si="4"/>
        <v>0.19049276270992435</v>
      </c>
      <c r="M41" s="61">
        <f t="shared" si="5"/>
        <v>2972.7880978175099</v>
      </c>
      <c r="O41" s="6">
        <v>2968150.6187020014</v>
      </c>
      <c r="P41" s="47">
        <v>15581435.0974677</v>
      </c>
      <c r="Q41" s="47">
        <v>998.44002365358199</v>
      </c>
      <c r="R41" s="61">
        <v>0.74458769733197128</v>
      </c>
      <c r="S41" s="61">
        <v>1.0168812517220616</v>
      </c>
      <c r="T41" s="61">
        <v>2903101.5834885901</v>
      </c>
      <c r="U41" s="47">
        <v>3898938.4244341799</v>
      </c>
      <c r="V41" s="47">
        <v>2854907.1767940102</v>
      </c>
      <c r="W41" s="47">
        <v>0</v>
      </c>
      <c r="X41" s="105">
        <f t="shared" si="6"/>
        <v>0.19049276270992435</v>
      </c>
      <c r="Y41" s="61">
        <f t="shared" si="7"/>
        <v>2972.7880978175099</v>
      </c>
    </row>
    <row r="42" spans="1:25" ht="22.5" x14ac:dyDescent="0.35">
      <c r="A42" s="7" t="s">
        <v>128</v>
      </c>
      <c r="B42" s="7" t="s">
        <v>30</v>
      </c>
      <c r="C42" s="6">
        <v>2300873.8955999939</v>
      </c>
      <c r="D42" s="47">
        <v>7784320.1458977303</v>
      </c>
      <c r="E42" s="47">
        <v>611.29435525913402</v>
      </c>
      <c r="F42" s="61">
        <v>1.5271722974343205</v>
      </c>
      <c r="G42" s="61">
        <v>2.1416301656957595</v>
      </c>
      <c r="H42" s="61">
        <v>4752356.4143284103</v>
      </c>
      <c r="I42" s="47">
        <v>3111866.5669305702</v>
      </c>
      <c r="J42" s="47">
        <v>2219036.92357849</v>
      </c>
      <c r="K42" s="47">
        <v>0</v>
      </c>
      <c r="L42" s="105">
        <f t="shared" si="4"/>
        <v>0.29557801483955343</v>
      </c>
      <c r="M42" s="61">
        <f t="shared" si="5"/>
        <v>3763.937742602955</v>
      </c>
      <c r="O42" s="6">
        <v>2300873.8955999939</v>
      </c>
      <c r="P42" s="47">
        <v>7784320.1458977303</v>
      </c>
      <c r="Q42" s="47">
        <v>611.29435525913402</v>
      </c>
      <c r="R42" s="61">
        <v>0.96492673394291928</v>
      </c>
      <c r="S42" s="61">
        <v>1.3531650649833227</v>
      </c>
      <c r="T42" s="61">
        <v>3002723.24289448</v>
      </c>
      <c r="U42" s="47">
        <v>3111866.5669305702</v>
      </c>
      <c r="V42" s="47">
        <v>2219036.92357849</v>
      </c>
      <c r="W42" s="47">
        <v>0</v>
      </c>
      <c r="X42" s="105">
        <f t="shared" si="6"/>
        <v>0.29557801483955343</v>
      </c>
      <c r="Y42" s="61">
        <f t="shared" si="7"/>
        <v>3763.937742602955</v>
      </c>
    </row>
    <row r="43" spans="1:25" ht="22.5" x14ac:dyDescent="0.35">
      <c r="A43" s="7" t="s">
        <v>129</v>
      </c>
      <c r="B43" s="7" t="s">
        <v>31</v>
      </c>
      <c r="C43" s="6">
        <v>2006391.1916320217</v>
      </c>
      <c r="D43" s="47">
        <v>9061967.2131147496</v>
      </c>
      <c r="E43" s="47">
        <v>535.03981264637002</v>
      </c>
      <c r="F43" s="61">
        <v>1.2393920178524143</v>
      </c>
      <c r="G43" s="61">
        <v>1.6716958089007485</v>
      </c>
      <c r="H43" s="61">
        <v>3244927.3375704698</v>
      </c>
      <c r="I43" s="47">
        <v>2618160.59070091</v>
      </c>
      <c r="J43" s="47">
        <v>1941099.16426974</v>
      </c>
      <c r="K43" s="47">
        <v>0</v>
      </c>
      <c r="L43" s="105">
        <f t="shared" si="4"/>
        <v>0.22140790674328553</v>
      </c>
      <c r="M43" s="61">
        <f t="shared" si="5"/>
        <v>3749.984850114563</v>
      </c>
      <c r="O43" s="6">
        <v>2006391.1916320217</v>
      </c>
      <c r="P43" s="47">
        <v>9061967.2131147496</v>
      </c>
      <c r="Q43" s="47">
        <v>535.03981264637002</v>
      </c>
      <c r="R43" s="61">
        <v>0.7620101723345013</v>
      </c>
      <c r="S43" s="61">
        <v>1.0278016907343126</v>
      </c>
      <c r="T43" s="61">
        <v>1995065.0029194001</v>
      </c>
      <c r="U43" s="47">
        <v>2618160.59070091</v>
      </c>
      <c r="V43" s="47">
        <v>1941099.16426974</v>
      </c>
      <c r="W43" s="47">
        <v>0</v>
      </c>
      <c r="X43" s="105">
        <f t="shared" si="6"/>
        <v>0.22140790674328553</v>
      </c>
      <c r="Y43" s="61">
        <f t="shared" si="7"/>
        <v>3749.984850114563</v>
      </c>
    </row>
    <row r="44" spans="1:25" ht="22.5" x14ac:dyDescent="0.35">
      <c r="A44" s="7" t="s">
        <v>130</v>
      </c>
      <c r="B44" s="7" t="s">
        <v>32</v>
      </c>
      <c r="C44" s="6">
        <v>1148387.6838577935</v>
      </c>
      <c r="D44" s="47">
        <v>6171187.5</v>
      </c>
      <c r="E44" s="47">
        <v>678.54375000000005</v>
      </c>
      <c r="F44" s="61">
        <v>2.2669793941222034</v>
      </c>
      <c r="G44" s="61">
        <v>2.7527980790898732</v>
      </c>
      <c r="H44" s="61">
        <v>3030168.0998460199</v>
      </c>
      <c r="I44" s="47">
        <v>1336654.45204425</v>
      </c>
      <c r="J44" s="47">
        <v>1100759.3048189899</v>
      </c>
      <c r="K44" s="47">
        <v>0</v>
      </c>
      <c r="L44" s="105">
        <f t="shared" si="4"/>
        <v>0.18608860674834357</v>
      </c>
      <c r="M44" s="61">
        <f t="shared" si="5"/>
        <v>1692.4298305861537</v>
      </c>
      <c r="O44" s="6">
        <v>1148387.6838577935</v>
      </c>
      <c r="P44" s="47">
        <v>6171187.5</v>
      </c>
      <c r="Q44" s="47">
        <v>678.54375000000005</v>
      </c>
      <c r="R44" s="61">
        <v>1.334207248135804</v>
      </c>
      <c r="S44" s="61">
        <v>1.6201308045846496</v>
      </c>
      <c r="T44" s="61">
        <v>1783374.0581704299</v>
      </c>
      <c r="U44" s="47">
        <v>1336654.45204425</v>
      </c>
      <c r="V44" s="47">
        <v>1100759.3048189899</v>
      </c>
      <c r="W44" s="47">
        <v>0</v>
      </c>
      <c r="X44" s="105">
        <f t="shared" si="6"/>
        <v>0.18608860674834357</v>
      </c>
      <c r="Y44" s="61">
        <f t="shared" si="7"/>
        <v>1692.4298305861537</v>
      </c>
    </row>
    <row r="45" spans="1:25" ht="22.5" x14ac:dyDescent="0.35">
      <c r="A45" s="7" t="s">
        <v>131</v>
      </c>
      <c r="B45" s="7" t="s">
        <v>33</v>
      </c>
      <c r="C45" s="87"/>
      <c r="D45" s="87"/>
      <c r="E45" s="87"/>
      <c r="F45" s="87"/>
      <c r="G45" s="64"/>
      <c r="H45" s="64"/>
      <c r="I45" s="64"/>
      <c r="J45" s="64"/>
      <c r="K45" s="97"/>
      <c r="L45" s="96"/>
      <c r="M45" s="96"/>
      <c r="O45" s="87"/>
      <c r="P45" s="87"/>
      <c r="Q45" s="87"/>
      <c r="R45" s="87"/>
      <c r="S45" s="64"/>
      <c r="T45" s="64"/>
      <c r="U45" s="64"/>
      <c r="V45" s="64"/>
      <c r="W45" s="97"/>
      <c r="X45" s="96"/>
      <c r="Y45" s="96"/>
    </row>
    <row r="46" spans="1:25" ht="22.5" x14ac:dyDescent="0.35">
      <c r="A46" s="7" t="s">
        <v>132</v>
      </c>
      <c r="B46" s="7" t="s">
        <v>34</v>
      </c>
      <c r="C46" s="87"/>
      <c r="D46" s="87"/>
      <c r="E46" s="87"/>
      <c r="F46" s="87"/>
      <c r="G46" s="64"/>
      <c r="H46" s="64"/>
      <c r="I46" s="64"/>
      <c r="J46" s="64"/>
      <c r="K46" s="97"/>
      <c r="L46" s="96"/>
      <c r="M46" s="96"/>
      <c r="O46" s="87"/>
      <c r="P46" s="87"/>
      <c r="Q46" s="87"/>
      <c r="R46" s="87"/>
      <c r="S46" s="64"/>
      <c r="T46" s="64"/>
      <c r="U46" s="64"/>
      <c r="V46" s="64"/>
      <c r="W46" s="97"/>
      <c r="X46" s="96"/>
      <c r="Y46" s="96"/>
    </row>
    <row r="47" spans="1:25" ht="22.5" x14ac:dyDescent="0.35">
      <c r="A47" s="7" t="s">
        <v>133</v>
      </c>
      <c r="B47" s="7" t="s">
        <v>35</v>
      </c>
      <c r="C47" s="6">
        <v>2345209.4419055502</v>
      </c>
      <c r="D47" s="47">
        <v>2924847.9517709999</v>
      </c>
      <c r="E47" s="47">
        <v>703.29101056000002</v>
      </c>
      <c r="F47" s="61">
        <v>0.80383074776619279</v>
      </c>
      <c r="G47" s="61">
        <v>0.87992814514149487</v>
      </c>
      <c r="H47" s="61">
        <v>1956343.1439561525</v>
      </c>
      <c r="I47" s="47">
        <v>2433774.9574680198</v>
      </c>
      <c r="J47" s="47">
        <v>2223298.7486058502</v>
      </c>
      <c r="K47" s="47">
        <v>0</v>
      </c>
      <c r="L47" s="105">
        <f t="shared" ref="L47:L52" si="8">C47/D47</f>
        <v>0.80182268636751608</v>
      </c>
      <c r="M47" s="61">
        <f t="shared" ref="M47:M52" si="9">C47/E47</f>
        <v>3334.6216668376892</v>
      </c>
      <c r="O47" s="6">
        <v>1373314.95190555</v>
      </c>
      <c r="P47" s="47">
        <v>685116.02027099999</v>
      </c>
      <c r="Q47" s="47">
        <v>123.66174456</v>
      </c>
      <c r="R47" s="61">
        <v>0.19267344877064238</v>
      </c>
      <c r="S47" s="61">
        <v>0.21118038125978483</v>
      </c>
      <c r="T47" s="61">
        <v>279250.39266380691</v>
      </c>
      <c r="U47" s="47">
        <v>1449345.4829690901</v>
      </c>
      <c r="V47" s="47">
        <v>1322331.1322669</v>
      </c>
      <c r="W47" s="47">
        <v>0</v>
      </c>
      <c r="X47" s="105">
        <f t="shared" ref="X47:X52" si="10">O47/P47</f>
        <v>2.004499838381141</v>
      </c>
      <c r="Y47" s="61">
        <f t="shared" ref="Y47:Y52" si="11">O47/Q47</f>
        <v>11105.414667987521</v>
      </c>
    </row>
    <row r="48" spans="1:25" ht="22.5" x14ac:dyDescent="0.35">
      <c r="A48" s="7" t="s">
        <v>134</v>
      </c>
      <c r="B48" s="7" t="s">
        <v>36</v>
      </c>
      <c r="C48" s="6">
        <v>1342280.7549355766</v>
      </c>
      <c r="D48" s="47">
        <v>5502162.1229999997</v>
      </c>
      <c r="E48" s="47">
        <v>347.625</v>
      </c>
      <c r="F48" s="61">
        <v>1.4543214028808997</v>
      </c>
      <c r="G48" s="61">
        <v>4.0897430280527525</v>
      </c>
      <c r="H48" s="61">
        <v>5326319.5992758796</v>
      </c>
      <c r="I48" s="47">
        <v>3662408.8655539602</v>
      </c>
      <c r="J48" s="47">
        <v>1302360.4570607699</v>
      </c>
      <c r="K48" s="47">
        <v>0</v>
      </c>
      <c r="L48" s="105">
        <f t="shared" si="8"/>
        <v>0.24395514434673024</v>
      </c>
      <c r="M48" s="61">
        <f t="shared" si="9"/>
        <v>3861.2894784194941</v>
      </c>
      <c r="O48" s="6">
        <v>1342280.7549355766</v>
      </c>
      <c r="P48" s="47">
        <v>5502162.1229999997</v>
      </c>
      <c r="Q48" s="47">
        <v>347.625</v>
      </c>
      <c r="R48" s="61">
        <v>1.0335730885782823</v>
      </c>
      <c r="S48" s="61">
        <v>2.9065434398631003</v>
      </c>
      <c r="T48" s="61">
        <v>3785367.2428070898</v>
      </c>
      <c r="U48" s="47">
        <v>3662408.8655539602</v>
      </c>
      <c r="V48" s="47">
        <v>1302360.4570607699</v>
      </c>
      <c r="W48" s="47">
        <v>0</v>
      </c>
      <c r="X48" s="105">
        <f t="shared" si="10"/>
        <v>0.24395514434673024</v>
      </c>
      <c r="Y48" s="61">
        <f t="shared" si="11"/>
        <v>3861.2894784194941</v>
      </c>
    </row>
    <row r="49" spans="1:25" ht="22.5" x14ac:dyDescent="0.35">
      <c r="A49" s="7" t="s">
        <v>197</v>
      </c>
      <c r="B49" s="7" t="s">
        <v>216</v>
      </c>
      <c r="C49" s="6">
        <v>1122986.0010460517</v>
      </c>
      <c r="D49" s="47">
        <v>4353238.95</v>
      </c>
      <c r="E49" s="47">
        <v>595.39592500000003</v>
      </c>
      <c r="F49" s="61">
        <v>1.8885863866322055</v>
      </c>
      <c r="G49" s="61">
        <v>2.5300358730756751</v>
      </c>
      <c r="H49" s="61">
        <v>2748451.4098398401</v>
      </c>
      <c r="I49" s="47">
        <v>1455295.57413626</v>
      </c>
      <c r="J49" s="47">
        <v>1086329.02761914</v>
      </c>
      <c r="K49" s="47">
        <v>0</v>
      </c>
      <c r="L49" s="105">
        <f t="shared" si="8"/>
        <v>0.25796562374460325</v>
      </c>
      <c r="M49" s="61">
        <f t="shared" si="9"/>
        <v>1886.1163704572746</v>
      </c>
      <c r="O49" s="6">
        <v>1122986.0010460517</v>
      </c>
      <c r="P49" s="47">
        <v>4353238.95</v>
      </c>
      <c r="Q49" s="47">
        <v>595.39592500000003</v>
      </c>
      <c r="R49" s="61">
        <v>1.1722803311083905</v>
      </c>
      <c r="S49" s="61">
        <v>1.5704398337288541</v>
      </c>
      <c r="T49" s="61">
        <v>1706014.37750903</v>
      </c>
      <c r="U49" s="47">
        <v>1455295.57413626</v>
      </c>
      <c r="V49" s="47">
        <v>1086329.02761914</v>
      </c>
      <c r="W49" s="47">
        <v>0</v>
      </c>
      <c r="X49" s="105">
        <f t="shared" si="10"/>
        <v>0.25796562374460325</v>
      </c>
      <c r="Y49" s="61">
        <f t="shared" si="11"/>
        <v>1886.1163704572746</v>
      </c>
    </row>
    <row r="50" spans="1:25" ht="22.5" x14ac:dyDescent="0.35">
      <c r="A50" s="7" t="s">
        <v>208</v>
      </c>
      <c r="B50" s="7" t="s">
        <v>217</v>
      </c>
      <c r="C50" s="6">
        <v>1519604.2599753535</v>
      </c>
      <c r="D50" s="47">
        <v>5531052.6831857804</v>
      </c>
      <c r="E50" s="47">
        <v>1282.0771858744099</v>
      </c>
      <c r="F50" s="61">
        <v>1.2123239750581376</v>
      </c>
      <c r="G50" s="61">
        <v>2.8742634170353756</v>
      </c>
      <c r="H50" s="61">
        <v>4239794.4432519898</v>
      </c>
      <c r="I50" s="47">
        <v>3497245.3984906701</v>
      </c>
      <c r="J50" s="47">
        <v>1475089.0325929399</v>
      </c>
      <c r="K50" s="47">
        <v>0</v>
      </c>
      <c r="L50" s="105">
        <f t="shared" si="8"/>
        <v>0.27474051451270765</v>
      </c>
      <c r="M50" s="61">
        <f t="shared" si="9"/>
        <v>1185.2673744747622</v>
      </c>
      <c r="O50" s="6">
        <v>1503426.4162320644</v>
      </c>
      <c r="P50" s="47">
        <v>5349061.6880737804</v>
      </c>
      <c r="Q50" s="47">
        <v>1272.3301858744101</v>
      </c>
      <c r="R50" s="61">
        <v>0.73748500951114704</v>
      </c>
      <c r="S50" s="61">
        <v>1.7209479518571758</v>
      </c>
      <c r="T50" s="61">
        <v>2512742.0182449101</v>
      </c>
      <c r="U50" s="47">
        <v>3407177.0759252701</v>
      </c>
      <c r="V50" s="47">
        <v>1460091.8148240701</v>
      </c>
      <c r="W50" s="47">
        <v>0</v>
      </c>
      <c r="X50" s="105">
        <f t="shared" si="10"/>
        <v>0.28106357785779335</v>
      </c>
      <c r="Y50" s="61">
        <f t="shared" si="11"/>
        <v>1181.6322782586765</v>
      </c>
    </row>
    <row r="51" spans="1:25" ht="22.5" x14ac:dyDescent="0.35">
      <c r="A51" s="7" t="s">
        <v>136</v>
      </c>
      <c r="B51" s="7" t="s">
        <v>37</v>
      </c>
      <c r="C51" s="6">
        <v>17665434.586961299</v>
      </c>
      <c r="D51" s="47">
        <v>38201472.706009001</v>
      </c>
      <c r="E51" s="47">
        <v>11372.823383999999</v>
      </c>
      <c r="F51" s="61">
        <v>1.4616131232984739</v>
      </c>
      <c r="G51" s="61">
        <v>1.5208460576033991</v>
      </c>
      <c r="H51" s="61">
        <v>25254983.62708931</v>
      </c>
      <c r="I51" s="47">
        <v>17278842.960916702</v>
      </c>
      <c r="J51" s="47">
        <v>16605877.6960549</v>
      </c>
      <c r="K51" s="47">
        <v>257.59103399999998</v>
      </c>
      <c r="L51" s="105">
        <f t="shared" si="8"/>
        <v>0.46242810383021093</v>
      </c>
      <c r="M51" s="61">
        <f t="shared" si="9"/>
        <v>1553.3024641721017</v>
      </c>
      <c r="O51" s="6">
        <v>17329695.256960094</v>
      </c>
      <c r="P51" s="47">
        <v>37436526.206009001</v>
      </c>
      <c r="Q51" s="47">
        <v>11120.064883999999</v>
      </c>
      <c r="R51" s="61">
        <v>0.95920100322773261</v>
      </c>
      <c r="S51" s="61">
        <v>0.99789973981149638</v>
      </c>
      <c r="T51" s="61">
        <v>16260416.952677054</v>
      </c>
      <c r="U51" s="47">
        <v>16952043.3130912</v>
      </c>
      <c r="V51" s="47">
        <v>16294639.9362211</v>
      </c>
      <c r="W51" s="47">
        <v>257.59103399999998</v>
      </c>
      <c r="X51" s="105">
        <f t="shared" si="10"/>
        <v>0.4629087421625801</v>
      </c>
      <c r="Y51" s="61">
        <f t="shared" si="11"/>
        <v>1558.416739266941</v>
      </c>
    </row>
    <row r="52" spans="1:25" ht="22.95" x14ac:dyDescent="0.35">
      <c r="A52" s="16"/>
      <c r="B52" s="16" t="s">
        <v>38</v>
      </c>
      <c r="C52" s="17">
        <f>SUM(C35:C51)</f>
        <v>45756038.659406655</v>
      </c>
      <c r="D52" s="51">
        <f>SUM(D35:D51)</f>
        <v>148019220.05831829</v>
      </c>
      <c r="E52" s="51">
        <f>SUM(E35:E51)</f>
        <v>23206.895795717966</v>
      </c>
      <c r="F52" s="90">
        <f>H52/I52</f>
        <v>1.4730539142245203</v>
      </c>
      <c r="G52" s="90">
        <f>H52/J52</f>
        <v>2.1910342549010466</v>
      </c>
      <c r="H52" s="135">
        <f>SUM(H35:H51)</f>
        <v>95756436.020211115</v>
      </c>
      <c r="I52" s="135">
        <f>SUM(I35:I51)</f>
        <v>65005384.457106903</v>
      </c>
      <c r="J52" s="135">
        <f>SUM(J35:J51)</f>
        <v>43703760.361581273</v>
      </c>
      <c r="K52" s="51">
        <f>SUM(K35:K51)</f>
        <v>257.59103399999998</v>
      </c>
      <c r="L52" s="110">
        <f t="shared" si="8"/>
        <v>0.30912227912955609</v>
      </c>
      <c r="M52" s="90">
        <f t="shared" si="9"/>
        <v>1971.6570049773463</v>
      </c>
      <c r="O52" s="17">
        <f>SUM(O35:O51)</f>
        <v>44291348.050935932</v>
      </c>
      <c r="P52" s="51">
        <f>SUM(P35:P51)</f>
        <v>143243970.13628846</v>
      </c>
      <c r="Q52" s="51">
        <f>SUM(Q35:Q51)</f>
        <v>22364.761029717971</v>
      </c>
      <c r="R52" s="90">
        <f>T52/U52</f>
        <v>0.94777395250725194</v>
      </c>
      <c r="S52" s="90">
        <f>T52/V52</f>
        <v>1.4118806611169543</v>
      </c>
      <c r="T52" s="135">
        <f>SUM(T35:T51)</f>
        <v>59787441.831558853</v>
      </c>
      <c r="U52" s="135">
        <f>SUM(U35:U51)</f>
        <v>63081963.450669304</v>
      </c>
      <c r="V52" s="135">
        <f>SUM(V35:V51)</f>
        <v>42345959.88039127</v>
      </c>
      <c r="W52" s="51">
        <f>SUM(W35:W51)</f>
        <v>257.59103399999998</v>
      </c>
      <c r="X52" s="110">
        <f t="shared" si="10"/>
        <v>0.3092021814865592</v>
      </c>
      <c r="Y52" s="90">
        <f t="shared" si="11"/>
        <v>1980.4078385672099</v>
      </c>
    </row>
    <row r="53" spans="1:25" ht="22.5" x14ac:dyDescent="0.35">
      <c r="A53" s="18"/>
      <c r="B53" s="18"/>
      <c r="C53" s="19"/>
      <c r="D53" s="52"/>
      <c r="E53" s="52"/>
      <c r="F53" s="52"/>
      <c r="G53" s="52"/>
      <c r="H53" s="52"/>
      <c r="I53" s="52"/>
      <c r="J53" s="52"/>
      <c r="K53" s="52"/>
      <c r="L53" s="123"/>
      <c r="M53" s="123"/>
      <c r="O53" s="19"/>
      <c r="P53" s="52"/>
      <c r="Q53" s="52"/>
      <c r="R53" s="52"/>
      <c r="S53" s="52"/>
      <c r="T53" s="52"/>
      <c r="U53" s="52"/>
      <c r="V53" s="52"/>
      <c r="W53" s="52"/>
      <c r="X53" s="123"/>
      <c r="Y53" s="123"/>
    </row>
    <row r="54" spans="1:25" ht="22.95" x14ac:dyDescent="0.35">
      <c r="A54" s="66"/>
      <c r="B54" s="66" t="s">
        <v>189</v>
      </c>
      <c r="C54" s="67">
        <f>C52+SUM(C24:C30)+C88</f>
        <v>91271180.60240531</v>
      </c>
      <c r="D54" s="68">
        <f>D52+SUM(D24:D30)+D88</f>
        <v>304026420.027484</v>
      </c>
      <c r="E54" s="68">
        <f>E52+SUM(E24:E30)+E88</f>
        <v>44124.349699979852</v>
      </c>
      <c r="F54" s="93">
        <f>H54/I54</f>
        <v>1.5768892273803468</v>
      </c>
      <c r="G54" s="93">
        <f>H54/J54</f>
        <v>2.491569492894568</v>
      </c>
      <c r="H54" s="101">
        <f>H52+SUM(H24:H30)+H88</f>
        <v>218293348.57452673</v>
      </c>
      <c r="I54" s="101">
        <f>I52+SUM(I24:I30)+I88</f>
        <v>138432899.90456268</v>
      </c>
      <c r="J54" s="101">
        <f>J52+SUM(J24:J30)+J88</f>
        <v>87612787.520899355</v>
      </c>
      <c r="K54" s="68">
        <f>K52+SUM(K24:K30)+K88</f>
        <v>755.62359034085739</v>
      </c>
      <c r="L54" s="111">
        <f>C54/D54</f>
        <v>0.30020805624114638</v>
      </c>
      <c r="M54" s="139">
        <f>C54/E54</f>
        <v>2068.499167081141</v>
      </c>
      <c r="O54" s="67">
        <f>O52+SUM(O24:O30)+O88</f>
        <v>87485171.430068031</v>
      </c>
      <c r="P54" s="68">
        <f>P52+SUM(P24:P30)+P88</f>
        <v>271265277.72687906</v>
      </c>
      <c r="Q54" s="68">
        <f>Q52+SUM(Q24:Q30)+Q88</f>
        <v>43202.988773095632</v>
      </c>
      <c r="R54" s="93">
        <f>T54/U54</f>
        <v>0.98258795724563208</v>
      </c>
      <c r="S54" s="93">
        <f>T54/V54</f>
        <v>1.5324367746002672</v>
      </c>
      <c r="T54" s="101">
        <f>T52+SUM(T24:T30)+T88</f>
        <v>128882642.7812583</v>
      </c>
      <c r="U54" s="101">
        <f>U52+SUM(U24:U30)+U88</f>
        <v>131166519.83252385</v>
      </c>
      <c r="V54" s="101">
        <f>V52+SUM(V24:V30)+V88</f>
        <v>84103073.560654446</v>
      </c>
      <c r="W54" s="68">
        <f>W52+SUM(W24:W30)+W88</f>
        <v>755.62359034085739</v>
      </c>
      <c r="X54" s="111">
        <f>O54/P54</f>
        <v>0.32250781288031882</v>
      </c>
      <c r="Y54" s="139">
        <f>O54/Q54</f>
        <v>2024.9796117010503</v>
      </c>
    </row>
    <row r="55" spans="1:25" ht="22.95" x14ac:dyDescent="0.35">
      <c r="A55" s="11"/>
      <c r="B55" s="11" t="s">
        <v>39</v>
      </c>
      <c r="C55" s="20">
        <f>C52+C32+C20+C21</f>
        <v>111256778.83399646</v>
      </c>
      <c r="D55" s="160">
        <f>D52+D32+D20+D21</f>
        <v>327153840.66092736</v>
      </c>
      <c r="E55" s="160">
        <f>E52+E32+E20+E21</f>
        <v>59447.754263032344</v>
      </c>
      <c r="F55" s="92">
        <f>H55/I55</f>
        <v>1.4947415614537019</v>
      </c>
      <c r="G55" s="92">
        <f>H55/J55</f>
        <v>2.295988540760999</v>
      </c>
      <c r="H55" s="20">
        <f>H52+H32+H20+H21</f>
        <v>244572128.39291579</v>
      </c>
      <c r="I55" s="20">
        <f>I52+I32+I20+I21</f>
        <v>163621681.96825853</v>
      </c>
      <c r="J55" s="20">
        <f>J52+J32+J20+J21</f>
        <v>106521493.48787823</v>
      </c>
      <c r="K55" s="160">
        <f>K52+K32+K20+K21</f>
        <v>5056.711730793646</v>
      </c>
      <c r="L55" s="112">
        <f>C55/D55</f>
        <v>0.34007480581377775</v>
      </c>
      <c r="M55" s="140">
        <f>C55/E55</f>
        <v>1871.5051596689434</v>
      </c>
      <c r="O55" s="20">
        <f>O52+O32+O20+O21</f>
        <v>108925616.66235383</v>
      </c>
      <c r="P55" s="160">
        <f>P52+P32+P20+P21</f>
        <v>300657454.9452104</v>
      </c>
      <c r="Q55" s="160">
        <f>Q52+Q32+Q20+Q21</f>
        <v>57824.293456087398</v>
      </c>
      <c r="R55" s="92">
        <f>T55/U55</f>
        <v>0.91950599238904607</v>
      </c>
      <c r="S55" s="92">
        <f>T55/V55</f>
        <v>1.4128786360065455</v>
      </c>
      <c r="T55" s="20">
        <f>T52+T32+T20+T21</f>
        <v>147448656.98482317</v>
      </c>
      <c r="U55" s="20">
        <f>U52+U32+U20+U21</f>
        <v>160356385.06468499</v>
      </c>
      <c r="V55" s="20">
        <f>V52+V32+V20+V21</f>
        <v>104360454.76742567</v>
      </c>
      <c r="W55" s="160">
        <f>W52+W32+W20+W21</f>
        <v>5056.711730793646</v>
      </c>
      <c r="X55" s="112">
        <f>O55/P55</f>
        <v>0.36229142125281288</v>
      </c>
      <c r="Y55" s="140">
        <f>O55/Q55</f>
        <v>1883.7345024383828</v>
      </c>
    </row>
    <row r="56" spans="1:25" ht="22.5" x14ac:dyDescent="0.35">
      <c r="A56" s="21"/>
      <c r="B56" s="21"/>
      <c r="C56" s="19"/>
      <c r="D56" s="52"/>
      <c r="E56" s="52"/>
      <c r="F56" s="52"/>
      <c r="G56" s="52"/>
      <c r="H56" s="52"/>
      <c r="I56" s="52"/>
      <c r="J56" s="52"/>
      <c r="K56" s="52"/>
      <c r="L56" s="123"/>
      <c r="M56" s="123"/>
      <c r="O56" s="19"/>
      <c r="P56" s="52"/>
      <c r="Q56" s="52"/>
      <c r="R56" s="52"/>
      <c r="S56" s="52"/>
      <c r="T56" s="52"/>
      <c r="U56" s="52"/>
      <c r="V56" s="52"/>
      <c r="W56" s="52"/>
      <c r="X56" s="123"/>
      <c r="Y56" s="123"/>
    </row>
    <row r="57" spans="1:25" ht="22.95" x14ac:dyDescent="0.35">
      <c r="A57" s="22"/>
      <c r="B57" s="22" t="s">
        <v>40</v>
      </c>
      <c r="C57" s="159"/>
      <c r="D57" s="866"/>
      <c r="E57" s="867"/>
      <c r="F57" s="146"/>
      <c r="G57" s="86"/>
      <c r="H57" s="86"/>
      <c r="I57" s="86"/>
      <c r="J57" s="86"/>
      <c r="K57" s="147"/>
      <c r="L57" s="124"/>
      <c r="M57" s="124"/>
      <c r="O57" s="174"/>
      <c r="P57" s="866"/>
      <c r="Q57" s="867"/>
      <c r="R57" s="161"/>
      <c r="S57" s="86"/>
      <c r="T57" s="86"/>
      <c r="U57" s="86"/>
      <c r="V57" s="86"/>
      <c r="W57" s="162"/>
      <c r="X57" s="124"/>
      <c r="Y57" s="124"/>
    </row>
    <row r="58" spans="1:25" ht="22.5" x14ac:dyDescent="0.35">
      <c r="A58" s="7" t="s">
        <v>182</v>
      </c>
      <c r="B58" s="7" t="s">
        <v>41</v>
      </c>
      <c r="C58" s="6">
        <v>1065771.0533444288</v>
      </c>
      <c r="D58" s="47">
        <v>990000</v>
      </c>
      <c r="E58" s="47">
        <v>75.031578947368402</v>
      </c>
      <c r="F58" s="61">
        <v>0.93234949571698067</v>
      </c>
      <c r="G58" s="61">
        <v>0.8029627781798111</v>
      </c>
      <c r="H58" s="61">
        <v>840304.46009834099</v>
      </c>
      <c r="I58" s="47">
        <v>901276.25312023505</v>
      </c>
      <c r="J58" s="47">
        <v>1046504.87286992</v>
      </c>
      <c r="K58" s="47">
        <v>0</v>
      </c>
      <c r="L58" s="105">
        <f>C58/D58</f>
        <v>1.076536417519625</v>
      </c>
      <c r="M58" s="61">
        <f>C58/E58</f>
        <v>14204.299953383945</v>
      </c>
      <c r="O58" s="6">
        <v>1065771.0533444288</v>
      </c>
      <c r="P58" s="47">
        <v>990000</v>
      </c>
      <c r="Q58" s="47">
        <v>75.031578947368402</v>
      </c>
      <c r="R58" s="61">
        <v>0.58653823991119458</v>
      </c>
      <c r="S58" s="61">
        <v>0.50514144834240804</v>
      </c>
      <c r="T58" s="61">
        <v>528632.987178899</v>
      </c>
      <c r="U58" s="47">
        <v>901276.25312023505</v>
      </c>
      <c r="V58" s="47">
        <v>1046504.87286992</v>
      </c>
      <c r="W58" s="47">
        <v>0</v>
      </c>
      <c r="X58" s="105">
        <f>O58/P58</f>
        <v>1.076536417519625</v>
      </c>
      <c r="Y58" s="61">
        <f>O58/Q58</f>
        <v>14204.299953383945</v>
      </c>
    </row>
    <row r="59" spans="1:25" ht="22.5" x14ac:dyDescent="0.35">
      <c r="A59" s="7" t="s">
        <v>181</v>
      </c>
      <c r="B59" s="7" t="s">
        <v>42</v>
      </c>
      <c r="C59" s="63"/>
      <c r="D59" s="64"/>
      <c r="E59" s="64"/>
      <c r="F59" s="65"/>
      <c r="G59" s="87"/>
      <c r="H59" s="87"/>
      <c r="I59" s="64"/>
      <c r="J59" s="64"/>
      <c r="K59" s="64"/>
      <c r="L59" s="96"/>
      <c r="M59" s="96"/>
      <c r="O59" s="63"/>
      <c r="P59" s="64"/>
      <c r="Q59" s="64"/>
      <c r="R59" s="65"/>
      <c r="S59" s="87"/>
      <c r="T59" s="87"/>
      <c r="U59" s="64"/>
      <c r="V59" s="64"/>
      <c r="W59" s="64"/>
      <c r="X59" s="96"/>
      <c r="Y59" s="96"/>
    </row>
    <row r="60" spans="1:25" ht="22.5" x14ac:dyDescent="0.35">
      <c r="A60" s="7" t="s">
        <v>137</v>
      </c>
      <c r="B60" s="7" t="s">
        <v>43</v>
      </c>
      <c r="C60" s="6">
        <v>1403757.7332113199</v>
      </c>
      <c r="D60" s="47">
        <v>2922248.4396629999</v>
      </c>
      <c r="E60" s="47">
        <v>333.25974481318201</v>
      </c>
      <c r="F60" s="61">
        <v>0.85597044854787996</v>
      </c>
      <c r="G60" s="61">
        <v>1.259680019244005</v>
      </c>
      <c r="H60" s="61">
        <v>1659313.5316990262</v>
      </c>
      <c r="I60" s="47">
        <v>1938517.31039779</v>
      </c>
      <c r="J60" s="47">
        <v>1317250.0209178999</v>
      </c>
      <c r="K60" s="47">
        <v>0</v>
      </c>
      <c r="L60" s="105">
        <f>C60/D60</f>
        <v>0.48036905902949317</v>
      </c>
      <c r="M60" s="61">
        <f>C60/E60</f>
        <v>4212.2031090140672</v>
      </c>
      <c r="O60" s="6">
        <v>1403757.7332113199</v>
      </c>
      <c r="P60" s="47">
        <v>2922248.4396629999</v>
      </c>
      <c r="Q60" s="47">
        <v>333.25974481318201</v>
      </c>
      <c r="R60" s="61">
        <v>0.64995142256261162</v>
      </c>
      <c r="S60" s="61">
        <v>0.95649425966782331</v>
      </c>
      <c r="T60" s="61">
        <v>1259942.0835552914</v>
      </c>
      <c r="U60" s="47">
        <v>1938517.31039779</v>
      </c>
      <c r="V60" s="47">
        <v>1317250.0209178999</v>
      </c>
      <c r="W60" s="47">
        <v>0</v>
      </c>
      <c r="X60" s="105">
        <f>O60/P60</f>
        <v>0.48036905902949317</v>
      </c>
      <c r="Y60" s="61">
        <f>O60/Q60</f>
        <v>4212.2031090140672</v>
      </c>
    </row>
    <row r="61" spans="1:25" ht="22.5" x14ac:dyDescent="0.35">
      <c r="A61" s="7" t="s">
        <v>138</v>
      </c>
      <c r="B61" s="7" t="s">
        <v>44</v>
      </c>
      <c r="C61" s="6">
        <v>223443.33342822894</v>
      </c>
      <c r="D61" s="47">
        <v>1150241.1969111101</v>
      </c>
      <c r="E61" s="47">
        <v>150.859790311111</v>
      </c>
      <c r="F61" s="61">
        <v>1.2372892215784721</v>
      </c>
      <c r="G61" s="61">
        <v>1.8835578803211988</v>
      </c>
      <c r="H61" s="61">
        <v>402622.67473051598</v>
      </c>
      <c r="I61" s="47">
        <v>325407.08163356502</v>
      </c>
      <c r="J61" s="47">
        <v>213756.46532394199</v>
      </c>
      <c r="K61" s="47">
        <v>0</v>
      </c>
      <c r="L61" s="105">
        <f>C61/D61</f>
        <v>0.19425780786522856</v>
      </c>
      <c r="M61" s="61">
        <f>C61/E61</f>
        <v>1481.132467222925</v>
      </c>
      <c r="O61" s="6">
        <v>223443.33342822894</v>
      </c>
      <c r="P61" s="47">
        <v>1150241.1969111101</v>
      </c>
      <c r="Q61" s="47">
        <v>150.859790311111</v>
      </c>
      <c r="R61" s="61">
        <v>0.71695224153631165</v>
      </c>
      <c r="S61" s="61">
        <v>1.0914352285691677</v>
      </c>
      <c r="T61" s="61">
        <v>233301.33658897399</v>
      </c>
      <c r="U61" s="47">
        <v>325407.08163356502</v>
      </c>
      <c r="V61" s="47">
        <v>213756.46532394199</v>
      </c>
      <c r="W61" s="47">
        <v>0</v>
      </c>
      <c r="X61" s="105">
        <f>O61/P61</f>
        <v>0.19425780786522856</v>
      </c>
      <c r="Y61" s="61">
        <f>O61/Q61</f>
        <v>1481.132467222925</v>
      </c>
    </row>
    <row r="62" spans="1:25" ht="22.5" x14ac:dyDescent="0.35">
      <c r="A62" s="7" t="s">
        <v>139</v>
      </c>
      <c r="B62" s="7" t="s">
        <v>45</v>
      </c>
      <c r="C62" s="6">
        <v>163860.05485484516</v>
      </c>
      <c r="D62" s="47">
        <v>163710</v>
      </c>
      <c r="E62" s="47">
        <v>1.2201313937118701</v>
      </c>
      <c r="F62" s="61">
        <v>0.38221397498433685</v>
      </c>
      <c r="G62" s="61">
        <v>0.73840899052218811</v>
      </c>
      <c r="H62" s="61">
        <v>119189.105358992</v>
      </c>
      <c r="I62" s="47">
        <v>311838.69026211399</v>
      </c>
      <c r="J62" s="47">
        <v>161413.39946945099</v>
      </c>
      <c r="K62" s="47">
        <v>1.2201313937118723</v>
      </c>
      <c r="L62" s="105">
        <f>C62/D62</f>
        <v>1.000916589425479</v>
      </c>
      <c r="M62" s="61">
        <f>C62/E62</f>
        <v>134297.05661154405</v>
      </c>
      <c r="O62" s="6">
        <v>154765.05485484516</v>
      </c>
      <c r="P62" s="47">
        <v>115560</v>
      </c>
      <c r="Q62" s="47">
        <v>1.2201313937118701</v>
      </c>
      <c r="R62" s="61">
        <v>0.28265307146814111</v>
      </c>
      <c r="S62" s="61">
        <v>0.41507370096139762</v>
      </c>
      <c r="T62" s="61">
        <v>63498.8605330426</v>
      </c>
      <c r="U62" s="47">
        <v>224653.00024238299</v>
      </c>
      <c r="V62" s="47">
        <v>152982.133982389</v>
      </c>
      <c r="W62" s="47">
        <v>1.2201313937118723</v>
      </c>
      <c r="X62" s="105">
        <f>O62/P62</f>
        <v>1.3392614646490582</v>
      </c>
      <c r="Y62" s="61">
        <f>O62/Q62</f>
        <v>126842.94138520659</v>
      </c>
    </row>
    <row r="63" spans="1:25" ht="22.5" x14ac:dyDescent="0.35">
      <c r="A63" s="7" t="s">
        <v>180</v>
      </c>
      <c r="B63" s="7" t="s">
        <v>46</v>
      </c>
      <c r="C63" s="64"/>
      <c r="D63" s="64"/>
      <c r="E63" s="64"/>
      <c r="F63" s="64"/>
      <c r="G63" s="64"/>
      <c r="H63" s="64"/>
      <c r="I63" s="64"/>
      <c r="J63" s="64"/>
      <c r="K63" s="64"/>
      <c r="L63" s="96"/>
      <c r="M63" s="96"/>
      <c r="O63" s="64"/>
      <c r="P63" s="64"/>
      <c r="Q63" s="64"/>
      <c r="R63" s="64"/>
      <c r="S63" s="64"/>
      <c r="T63" s="64"/>
      <c r="U63" s="64"/>
      <c r="V63" s="64"/>
      <c r="W63" s="64"/>
      <c r="X63" s="96"/>
      <c r="Y63" s="96"/>
    </row>
    <row r="64" spans="1:25" ht="22.5" x14ac:dyDescent="0.35">
      <c r="A64" s="7" t="s">
        <v>140</v>
      </c>
      <c r="B64" s="7" t="s">
        <v>47</v>
      </c>
      <c r="C64" s="6">
        <v>1260800.2103991229</v>
      </c>
      <c r="D64" s="47">
        <v>2879387.4</v>
      </c>
      <c r="E64" s="47">
        <v>268.70313339866499</v>
      </c>
      <c r="F64" s="61">
        <v>0.76667714485751204</v>
      </c>
      <c r="G64" s="61">
        <v>1.1900718648574129</v>
      </c>
      <c r="H64" s="61">
        <v>1415708.1522650199</v>
      </c>
      <c r="I64" s="47">
        <v>1846550.6135938501</v>
      </c>
      <c r="J64" s="47">
        <v>1189598.8755558401</v>
      </c>
      <c r="K64" s="47">
        <v>0</v>
      </c>
      <c r="L64" s="105">
        <f t="shared" ref="L64:L75" si="12">C64/D64</f>
        <v>0.43787098964145044</v>
      </c>
      <c r="M64" s="61">
        <f>C64/E64</f>
        <v>4692.1678748290587</v>
      </c>
      <c r="O64" s="6">
        <v>1213685.5822250193</v>
      </c>
      <c r="P64" s="47">
        <v>2614562.4</v>
      </c>
      <c r="Q64" s="47">
        <v>268.70313339866499</v>
      </c>
      <c r="R64" s="61">
        <v>0.55954764661154444</v>
      </c>
      <c r="S64" s="61">
        <v>0.8359236634420516</v>
      </c>
      <c r="T64" s="61">
        <v>957903.798302365</v>
      </c>
      <c r="U64" s="47">
        <v>1711925.3455950499</v>
      </c>
      <c r="V64" s="47">
        <v>1145922.5766597399</v>
      </c>
      <c r="W64" s="47">
        <v>0</v>
      </c>
      <c r="X64" s="105">
        <f t="shared" ref="X64:X75" si="13">O64/P64</f>
        <v>0.46420218627217286</v>
      </c>
      <c r="Y64" s="61">
        <f>O64/Q64</f>
        <v>4516.8270532384095</v>
      </c>
    </row>
    <row r="65" spans="1:25" ht="22.5" x14ac:dyDescent="0.35">
      <c r="A65" s="7" t="s">
        <v>141</v>
      </c>
      <c r="B65" s="7" t="s">
        <v>48</v>
      </c>
      <c r="C65" s="6">
        <v>889349.6219281326</v>
      </c>
      <c r="D65" s="47">
        <v>1197256.5</v>
      </c>
      <c r="E65" s="47">
        <v>37.456534370319801</v>
      </c>
      <c r="F65" s="61">
        <v>0.39081035068894393</v>
      </c>
      <c r="G65" s="61">
        <v>0.7623526977279339</v>
      </c>
      <c r="H65" s="61">
        <v>665005.29528320103</v>
      </c>
      <c r="I65" s="47">
        <v>1701606.14761326</v>
      </c>
      <c r="J65" s="47">
        <v>872306.60725034401</v>
      </c>
      <c r="K65" s="47">
        <v>12.711835410381424</v>
      </c>
      <c r="L65" s="105">
        <f t="shared" si="12"/>
        <v>0.74282296394142155</v>
      </c>
      <c r="M65" s="61">
        <f>C65/E65</f>
        <v>23743.51062849116</v>
      </c>
      <c r="O65" s="6">
        <v>733449.57223730127</v>
      </c>
      <c r="P65" s="47">
        <v>324319.95</v>
      </c>
      <c r="Q65" s="47">
        <v>37.456534370319801</v>
      </c>
      <c r="R65" s="61">
        <v>0.10419327018158554</v>
      </c>
      <c r="S65" s="61">
        <v>0.1794790003975289</v>
      </c>
      <c r="T65" s="61">
        <v>130621.91334105399</v>
      </c>
      <c r="U65" s="47">
        <v>1253650.1936584699</v>
      </c>
      <c r="V65" s="47">
        <v>727783.82457969396</v>
      </c>
      <c r="W65" s="47">
        <v>12.711835410381424</v>
      </c>
      <c r="X65" s="105">
        <f t="shared" si="13"/>
        <v>2.2615000163798165</v>
      </c>
      <c r="Y65" s="61">
        <f>O65/Q65</f>
        <v>19581.35168048221</v>
      </c>
    </row>
    <row r="66" spans="1:25" ht="22.5" x14ac:dyDescent="0.35">
      <c r="A66" s="7" t="s">
        <v>142</v>
      </c>
      <c r="B66" s="7" t="s">
        <v>49</v>
      </c>
      <c r="C66" s="6">
        <v>87039.351406278598</v>
      </c>
      <c r="D66" s="47">
        <v>12519</v>
      </c>
      <c r="E66" s="47">
        <v>3.7422906171796302</v>
      </c>
      <c r="F66" s="61">
        <v>7.5665595906228955E-2</v>
      </c>
      <c r="G66" s="61">
        <v>7.9138696098157754E-2</v>
      </c>
      <c r="H66" s="61">
        <v>6874.9563136909701</v>
      </c>
      <c r="I66" s="47">
        <v>90859.7392427991</v>
      </c>
      <c r="J66" s="47">
        <v>86872.246481844806</v>
      </c>
      <c r="K66" s="47">
        <v>0</v>
      </c>
      <c r="L66" s="105">
        <f t="shared" si="12"/>
        <v>6.9525801906125571</v>
      </c>
      <c r="M66" s="61">
        <f>C66/E66</f>
        <v>23258.308963689098</v>
      </c>
      <c r="O66" s="6">
        <v>84749.551406278595</v>
      </c>
      <c r="P66" s="47">
        <v>0</v>
      </c>
      <c r="Q66" s="47">
        <v>0</v>
      </c>
      <c r="R66" s="61">
        <v>0</v>
      </c>
      <c r="S66" s="61">
        <v>0</v>
      </c>
      <c r="T66" s="61">
        <v>0</v>
      </c>
      <c r="U66" s="47">
        <v>84749.551406278595</v>
      </c>
      <c r="V66" s="47">
        <v>84749.551406278595</v>
      </c>
      <c r="W66" s="47">
        <v>0</v>
      </c>
      <c r="X66" s="105" t="e">
        <f t="shared" si="13"/>
        <v>#DIV/0!</v>
      </c>
      <c r="Y66" s="61" t="e">
        <f>O66/Q66</f>
        <v>#DIV/0!</v>
      </c>
    </row>
    <row r="67" spans="1:25" ht="22.5" x14ac:dyDescent="0.35">
      <c r="A67" s="7" t="s">
        <v>143</v>
      </c>
      <c r="B67" s="7" t="s">
        <v>50</v>
      </c>
      <c r="C67" s="6">
        <v>202114.58486777736</v>
      </c>
      <c r="D67" s="47">
        <v>110106</v>
      </c>
      <c r="E67" s="47">
        <v>0</v>
      </c>
      <c r="F67" s="61">
        <v>0.27578786315927273</v>
      </c>
      <c r="G67" s="61">
        <v>0.29034598067041462</v>
      </c>
      <c r="H67" s="61">
        <v>58359.126766235197</v>
      </c>
      <c r="I67" s="47">
        <v>211608.756446732</v>
      </c>
      <c r="J67" s="47">
        <v>200998.569470405</v>
      </c>
      <c r="K67" s="47">
        <v>0</v>
      </c>
      <c r="L67" s="105">
        <f t="shared" si="12"/>
        <v>1.835636430964501</v>
      </c>
      <c r="M67" s="61">
        <v>0</v>
      </c>
      <c r="O67" s="6">
        <v>186822.08486777736</v>
      </c>
      <c r="P67" s="47">
        <v>0</v>
      </c>
      <c r="Q67" s="47">
        <v>0</v>
      </c>
      <c r="R67" s="61">
        <v>0</v>
      </c>
      <c r="S67" s="61">
        <v>0</v>
      </c>
      <c r="T67" s="61">
        <v>0</v>
      </c>
      <c r="U67" s="47">
        <v>186822.08486777701</v>
      </c>
      <c r="V67" s="47">
        <v>186822.08486777701</v>
      </c>
      <c r="W67" s="47">
        <v>0</v>
      </c>
      <c r="X67" s="105" t="e">
        <f t="shared" si="13"/>
        <v>#DIV/0!</v>
      </c>
      <c r="Y67" s="61">
        <v>0</v>
      </c>
    </row>
    <row r="68" spans="1:25" ht="22.5" x14ac:dyDescent="0.35">
      <c r="A68" s="7" t="s">
        <v>144</v>
      </c>
      <c r="B68" s="7" t="s">
        <v>51</v>
      </c>
      <c r="C68" s="6">
        <v>124489.53106189765</v>
      </c>
      <c r="D68" s="47">
        <v>16178.4</v>
      </c>
      <c r="E68" s="47">
        <v>0</v>
      </c>
      <c r="F68" s="61">
        <v>6.6280117103858768E-2</v>
      </c>
      <c r="G68" s="61">
        <v>6.9000411797493041E-2</v>
      </c>
      <c r="H68" s="61">
        <v>8574.9849824247503</v>
      </c>
      <c r="I68" s="47">
        <v>129374.922029604</v>
      </c>
      <c r="J68" s="47">
        <v>124274.40299329199</v>
      </c>
      <c r="K68" s="47">
        <v>0</v>
      </c>
      <c r="L68" s="105">
        <f t="shared" si="12"/>
        <v>7.6947986860194861</v>
      </c>
      <c r="M68" s="61">
        <v>0</v>
      </c>
      <c r="O68" s="6">
        <v>121541.68106189765</v>
      </c>
      <c r="P68" s="47">
        <v>0</v>
      </c>
      <c r="Q68" s="47">
        <v>0</v>
      </c>
      <c r="R68" s="61">
        <v>0</v>
      </c>
      <c r="S68" s="61">
        <v>0</v>
      </c>
      <c r="T68" s="61">
        <v>0</v>
      </c>
      <c r="U68" s="47">
        <v>121541.681061896</v>
      </c>
      <c r="V68" s="47">
        <v>121541.681061896</v>
      </c>
      <c r="W68" s="47">
        <v>0</v>
      </c>
      <c r="X68" s="105" t="e">
        <f t="shared" si="13"/>
        <v>#DIV/0!</v>
      </c>
      <c r="Y68" s="61">
        <v>0</v>
      </c>
    </row>
    <row r="69" spans="1:25" ht="22.5" x14ac:dyDescent="0.35">
      <c r="A69" s="7" t="s">
        <v>145</v>
      </c>
      <c r="B69" s="7" t="s">
        <v>52</v>
      </c>
      <c r="C69" s="6">
        <v>2175008.4751747278</v>
      </c>
      <c r="D69" s="47">
        <v>5054661.5</v>
      </c>
      <c r="E69" s="47">
        <v>341.44600000000003</v>
      </c>
      <c r="F69" s="61">
        <v>0.77843161721434606</v>
      </c>
      <c r="G69" s="61">
        <v>1.3485968351878272</v>
      </c>
      <c r="H69" s="61">
        <v>2760001.5826510801</v>
      </c>
      <c r="I69" s="47">
        <v>3545592.8582755602</v>
      </c>
      <c r="J69" s="47">
        <v>2046572.78634847</v>
      </c>
      <c r="K69" s="47">
        <v>0</v>
      </c>
      <c r="L69" s="105">
        <f t="shared" si="12"/>
        <v>0.43029755309524242</v>
      </c>
      <c r="M69" s="61">
        <v>0</v>
      </c>
      <c r="O69" s="6">
        <v>1923559.3504361613</v>
      </c>
      <c r="P69" s="47">
        <v>3644271.5</v>
      </c>
      <c r="Q69" s="47">
        <v>341.44600000000003</v>
      </c>
      <c r="R69" s="61">
        <v>0.56214223775763705</v>
      </c>
      <c r="S69" s="61">
        <v>0.85737762231474679</v>
      </c>
      <c r="T69" s="61">
        <v>1554831.9446765799</v>
      </c>
      <c r="U69" s="47">
        <v>2765904.8551105899</v>
      </c>
      <c r="V69" s="47">
        <v>1813473.90485752</v>
      </c>
      <c r="W69" s="47">
        <v>0</v>
      </c>
      <c r="X69" s="105">
        <f t="shared" si="13"/>
        <v>0.5278309671593242</v>
      </c>
      <c r="Y69" s="61">
        <v>0</v>
      </c>
    </row>
    <row r="70" spans="1:25" ht="22.5" x14ac:dyDescent="0.35">
      <c r="A70" s="7" t="s">
        <v>146</v>
      </c>
      <c r="B70" s="7" t="s">
        <v>53</v>
      </c>
      <c r="C70" s="6">
        <v>802063.78468775935</v>
      </c>
      <c r="D70" s="47">
        <v>1707002.6089999999</v>
      </c>
      <c r="E70" s="47">
        <v>138.05385824939901</v>
      </c>
      <c r="F70" s="61">
        <v>0.66414780358477343</v>
      </c>
      <c r="G70" s="61">
        <v>1.12901639878219</v>
      </c>
      <c r="H70" s="61">
        <v>858413.41772829799</v>
      </c>
      <c r="I70" s="47">
        <v>1292503.5859412099</v>
      </c>
      <c r="J70" s="47">
        <v>760319.70718425605</v>
      </c>
      <c r="K70" s="47">
        <v>0</v>
      </c>
      <c r="L70" s="105">
        <f t="shared" si="12"/>
        <v>0.4698667596985257</v>
      </c>
      <c r="M70" s="61">
        <f>C70/E70</f>
        <v>5809.7889827809358</v>
      </c>
      <c r="O70" s="6">
        <v>763805.58204896294</v>
      </c>
      <c r="P70" s="47">
        <v>1533940.7</v>
      </c>
      <c r="Q70" s="47">
        <v>138.05385824939901</v>
      </c>
      <c r="R70" s="61">
        <v>0.52070417221555165</v>
      </c>
      <c r="S70" s="61">
        <v>0.81040438470401677</v>
      </c>
      <c r="T70" s="61">
        <v>587424.46276187606</v>
      </c>
      <c r="U70" s="47">
        <v>1128134.7338978201</v>
      </c>
      <c r="V70" s="47">
        <v>724853.50998738804</v>
      </c>
      <c r="W70" s="47">
        <v>0</v>
      </c>
      <c r="X70" s="105">
        <f t="shared" si="13"/>
        <v>0.49793683813785172</v>
      </c>
      <c r="Y70" s="61">
        <f>O70/Q70</f>
        <v>5532.6637859633165</v>
      </c>
    </row>
    <row r="71" spans="1:25" ht="22.5" x14ac:dyDescent="0.35">
      <c r="A71" s="7" t="s">
        <v>147</v>
      </c>
      <c r="B71" s="7" t="s">
        <v>54</v>
      </c>
      <c r="C71" s="6">
        <v>424150.00471853721</v>
      </c>
      <c r="D71" s="47">
        <v>253152.62100000001</v>
      </c>
      <c r="E71" s="47">
        <v>3.9128395980647599</v>
      </c>
      <c r="F71" s="61">
        <v>0.3026191622316895</v>
      </c>
      <c r="G71" s="61">
        <v>0.34382846632272246</v>
      </c>
      <c r="H71" s="61">
        <v>144576.16571178861</v>
      </c>
      <c r="I71" s="47">
        <v>477749.54053008399</v>
      </c>
      <c r="J71" s="47">
        <v>420489.22609010298</v>
      </c>
      <c r="K71" s="47">
        <v>0</v>
      </c>
      <c r="L71" s="105">
        <f t="shared" si="12"/>
        <v>1.67547151217738</v>
      </c>
      <c r="M71" s="61">
        <f>C71/E71</f>
        <v>108399.53800516544</v>
      </c>
      <c r="O71" s="6">
        <v>381115.20471853722</v>
      </c>
      <c r="P71" s="47">
        <v>17820</v>
      </c>
      <c r="Q71" s="47">
        <v>3.9128395980647599</v>
      </c>
      <c r="R71" s="61">
        <v>3.315021958359584E-2</v>
      </c>
      <c r="S71" s="61">
        <v>3.3095862330280924E-2</v>
      </c>
      <c r="T71" s="61">
        <v>12596.12031421296</v>
      </c>
      <c r="U71" s="47">
        <v>379970.946570926</v>
      </c>
      <c r="V71" s="47">
        <v>380595.01784572599</v>
      </c>
      <c r="W71" s="47">
        <v>0</v>
      </c>
      <c r="X71" s="105">
        <f t="shared" si="13"/>
        <v>21.386936291724872</v>
      </c>
      <c r="Y71" s="61">
        <f>O71/Q71</f>
        <v>97401.182738753691</v>
      </c>
    </row>
    <row r="72" spans="1:25" ht="22.5" x14ac:dyDescent="0.35">
      <c r="A72" s="7" t="s">
        <v>148</v>
      </c>
      <c r="B72" s="7" t="s">
        <v>55</v>
      </c>
      <c r="C72" s="6">
        <v>724947.74903215852</v>
      </c>
      <c r="D72" s="47">
        <v>913640.76</v>
      </c>
      <c r="E72" s="47">
        <v>19.779763143875702</v>
      </c>
      <c r="F72" s="61">
        <v>0.48187774155628932</v>
      </c>
      <c r="G72" s="61">
        <v>0.68306284615523971</v>
      </c>
      <c r="H72" s="61">
        <v>486507.50687820499</v>
      </c>
      <c r="I72" s="47">
        <v>1009607.7592357</v>
      </c>
      <c r="J72" s="47">
        <v>712244.13627034903</v>
      </c>
      <c r="K72" s="47">
        <v>0</v>
      </c>
      <c r="L72" s="105">
        <f t="shared" si="12"/>
        <v>0.79347133005773351</v>
      </c>
      <c r="M72" s="61">
        <f>C72/E72</f>
        <v>36650.98230747116</v>
      </c>
      <c r="O72" s="6">
        <v>577829.60070933518</v>
      </c>
      <c r="P72" s="47">
        <v>86196.96</v>
      </c>
      <c r="Q72" s="47">
        <v>19.779763143875702</v>
      </c>
      <c r="R72" s="61">
        <v>4.7049682363563605E-2</v>
      </c>
      <c r="S72" s="61">
        <v>4.7839567069025223E-2</v>
      </c>
      <c r="T72" s="61">
        <v>27549.006460329601</v>
      </c>
      <c r="U72" s="47">
        <v>585530.12637688301</v>
      </c>
      <c r="V72" s="47">
        <v>575862.36975306598</v>
      </c>
      <c r="W72" s="47">
        <v>0</v>
      </c>
      <c r="X72" s="105">
        <f t="shared" si="13"/>
        <v>6.7035960515235704</v>
      </c>
      <c r="Y72" s="61">
        <f>O72/Q72</f>
        <v>29213.17088108031</v>
      </c>
    </row>
    <row r="73" spans="1:25" ht="22.5" x14ac:dyDescent="0.35">
      <c r="A73" s="7" t="s">
        <v>149</v>
      </c>
      <c r="B73" s="7" t="s">
        <v>56</v>
      </c>
      <c r="C73" s="6">
        <v>246603.48593411699</v>
      </c>
      <c r="D73" s="47">
        <v>317790</v>
      </c>
      <c r="E73" s="47">
        <v>0</v>
      </c>
      <c r="F73" s="61">
        <v>0.45575497630559109</v>
      </c>
      <c r="G73" s="61">
        <v>0.789342461560534</v>
      </c>
      <c r="H73" s="61">
        <v>192012.276446217</v>
      </c>
      <c r="I73" s="47">
        <v>421305.93505021802</v>
      </c>
      <c r="J73" s="47">
        <v>243255.983045189</v>
      </c>
      <c r="K73" s="47">
        <v>0</v>
      </c>
      <c r="L73" s="105">
        <f t="shared" si="12"/>
        <v>0.77599510977097141</v>
      </c>
      <c r="M73" s="61">
        <v>0</v>
      </c>
      <c r="O73" s="6">
        <v>217178.48593411699</v>
      </c>
      <c r="P73" s="47">
        <v>77040</v>
      </c>
      <c r="Q73" s="47">
        <v>0</v>
      </c>
      <c r="R73" s="61">
        <v>0.16080142522139759</v>
      </c>
      <c r="S73" s="61">
        <v>0.19519938678103863</v>
      </c>
      <c r="T73" s="61">
        <v>42158.843314919199</v>
      </c>
      <c r="U73" s="47">
        <v>262179.53763079701</v>
      </c>
      <c r="V73" s="47">
        <v>215978.359410576</v>
      </c>
      <c r="W73" s="47">
        <v>0</v>
      </c>
      <c r="X73" s="105">
        <f t="shared" si="13"/>
        <v>2.8190353833608124</v>
      </c>
      <c r="Y73" s="61">
        <v>0</v>
      </c>
    </row>
    <row r="74" spans="1:25" ht="22.5" x14ac:dyDescent="0.35">
      <c r="A74" s="7" t="s">
        <v>150</v>
      </c>
      <c r="B74" s="7" t="s">
        <v>57</v>
      </c>
      <c r="C74" s="6">
        <v>433607.03951370768</v>
      </c>
      <c r="D74" s="47">
        <v>252787.5</v>
      </c>
      <c r="E74" s="47">
        <v>8.2448630136986303</v>
      </c>
      <c r="F74" s="61">
        <v>0.2821882486050033</v>
      </c>
      <c r="G74" s="61">
        <v>0.37934452692835702</v>
      </c>
      <c r="H74" s="61">
        <v>163113.72120579801</v>
      </c>
      <c r="I74" s="47">
        <v>578031.58711303596</v>
      </c>
      <c r="J74" s="47">
        <v>429988.33415778697</v>
      </c>
      <c r="K74" s="47">
        <v>0</v>
      </c>
      <c r="L74" s="105">
        <f t="shared" si="12"/>
        <v>1.7153025347919011</v>
      </c>
      <c r="M74" s="61">
        <f>C74/E74</f>
        <v>52591.175716719685</v>
      </c>
      <c r="O74" s="6">
        <v>426785.78951370768</v>
      </c>
      <c r="P74" s="47">
        <v>216675</v>
      </c>
      <c r="Q74" s="47">
        <v>8.2448630136986303</v>
      </c>
      <c r="R74" s="61">
        <v>0.1802746179725232</v>
      </c>
      <c r="S74" s="61">
        <v>0.21813561044326796</v>
      </c>
      <c r="T74" s="61">
        <v>92416.398322120498</v>
      </c>
      <c r="U74" s="47">
        <v>512642.31959823798</v>
      </c>
      <c r="V74" s="47">
        <v>423664.88504248997</v>
      </c>
      <c r="W74" s="47">
        <v>0</v>
      </c>
      <c r="X74" s="105">
        <f t="shared" si="13"/>
        <v>1.9697048091090696</v>
      </c>
      <c r="Y74" s="61">
        <f>O74/Q74</f>
        <v>51763.842383386349</v>
      </c>
    </row>
    <row r="75" spans="1:25" ht="22.5" x14ac:dyDescent="0.35">
      <c r="A75" s="7" t="s">
        <v>151</v>
      </c>
      <c r="B75" s="7" t="s">
        <v>58</v>
      </c>
      <c r="C75" s="6">
        <v>206118.79449251326</v>
      </c>
      <c r="D75" s="47">
        <v>173547.9</v>
      </c>
      <c r="E75" s="47">
        <v>46.779734694800602</v>
      </c>
      <c r="F75" s="61">
        <v>0.22284906676675689</v>
      </c>
      <c r="G75" s="61">
        <v>0.25587426825950305</v>
      </c>
      <c r="H75" s="61">
        <v>52208.622262435252</v>
      </c>
      <c r="I75" s="47">
        <v>234277.94883735801</v>
      </c>
      <c r="J75" s="47">
        <v>204040.14290911899</v>
      </c>
      <c r="K75" s="47">
        <v>0</v>
      </c>
      <c r="L75" s="105">
        <f t="shared" si="12"/>
        <v>1.187676684607035</v>
      </c>
      <c r="M75" s="61">
        <f>C75/E75</f>
        <v>4406.1556962062596</v>
      </c>
      <c r="O75" s="6">
        <v>206118.79449251326</v>
      </c>
      <c r="P75" s="47">
        <v>173547.9</v>
      </c>
      <c r="Q75" s="47">
        <v>46.779734694800602</v>
      </c>
      <c r="R75" s="61">
        <v>0.12453001399907673</v>
      </c>
      <c r="S75" s="61">
        <v>0.14298478638777359</v>
      </c>
      <c r="T75" s="61">
        <v>29174.636248391176</v>
      </c>
      <c r="U75" s="47">
        <v>234277.94883735801</v>
      </c>
      <c r="V75" s="47">
        <v>204040.14290911899</v>
      </c>
      <c r="W75" s="47">
        <v>0</v>
      </c>
      <c r="X75" s="105">
        <f t="shared" si="13"/>
        <v>1.187676684607035</v>
      </c>
      <c r="Y75" s="61">
        <f>O75/Q75</f>
        <v>4406.1556962062596</v>
      </c>
    </row>
    <row r="76" spans="1:25" ht="22.5" x14ac:dyDescent="0.35">
      <c r="A76" s="7"/>
      <c r="B76" s="7" t="s">
        <v>59</v>
      </c>
      <c r="C76" s="63"/>
      <c r="D76" s="64"/>
      <c r="E76" s="64"/>
      <c r="F76" s="65"/>
      <c r="G76" s="87"/>
      <c r="H76" s="87"/>
      <c r="I76" s="64"/>
      <c r="J76" s="64"/>
      <c r="K76" s="64"/>
      <c r="L76" s="96"/>
      <c r="M76" s="96"/>
      <c r="O76" s="63"/>
      <c r="P76" s="64"/>
      <c r="Q76" s="64"/>
      <c r="R76" s="65"/>
      <c r="S76" s="87"/>
      <c r="T76" s="87"/>
      <c r="U76" s="64"/>
      <c r="V76" s="64"/>
      <c r="W76" s="64"/>
      <c r="X76" s="96"/>
      <c r="Y76" s="96"/>
    </row>
    <row r="77" spans="1:25" ht="22.5" x14ac:dyDescent="0.35">
      <c r="A77" s="7" t="s">
        <v>152</v>
      </c>
      <c r="B77" s="7" t="s">
        <v>60</v>
      </c>
      <c r="C77" s="6">
        <v>172191.38991406345</v>
      </c>
      <c r="D77" s="47">
        <v>278705.7</v>
      </c>
      <c r="E77" s="47">
        <v>2.2700117255082</v>
      </c>
      <c r="F77" s="61">
        <v>0.3765556113526688</v>
      </c>
      <c r="G77" s="61">
        <v>0.87908385834911451</v>
      </c>
      <c r="H77" s="61">
        <v>147636.51895725401</v>
      </c>
      <c r="I77" s="47">
        <v>392070.95713409199</v>
      </c>
      <c r="J77" s="47">
        <v>167943.61260882401</v>
      </c>
      <c r="K77" s="47">
        <v>2.2700117255082</v>
      </c>
      <c r="L77" s="105">
        <f t="shared" ref="L77:L88" si="14">C77/D77</f>
        <v>0.61782514643246778</v>
      </c>
      <c r="M77" s="61">
        <f t="shared" ref="M77:M86" si="15">C77/E77</f>
        <v>75854.846025305887</v>
      </c>
      <c r="O77" s="6">
        <v>152488.90904125647</v>
      </c>
      <c r="P77" s="47">
        <v>167960.7</v>
      </c>
      <c r="Q77" s="47">
        <v>2.2700117255082</v>
      </c>
      <c r="R77" s="61">
        <v>0.18347594676934537</v>
      </c>
      <c r="S77" s="61">
        <v>0.41158946495461474</v>
      </c>
      <c r="T77" s="61">
        <v>61606.290686057197</v>
      </c>
      <c r="U77" s="47">
        <v>335773.11778913898</v>
      </c>
      <c r="V77" s="47">
        <v>149678.97852499801</v>
      </c>
      <c r="W77" s="47">
        <v>2.2700117255082</v>
      </c>
      <c r="X77" s="105">
        <f t="shared" ref="X77:X88" si="16">O77/P77</f>
        <v>0.907884457740748</v>
      </c>
      <c r="Y77" s="61">
        <f t="shared" ref="Y77:Y86" si="17">O77/Q77</f>
        <v>67175.38386596569</v>
      </c>
    </row>
    <row r="78" spans="1:25" ht="22.5" x14ac:dyDescent="0.35">
      <c r="A78" s="7" t="s">
        <v>153</v>
      </c>
      <c r="B78" s="7" t="s">
        <v>61</v>
      </c>
      <c r="C78" s="6">
        <v>2462104.6480701216</v>
      </c>
      <c r="D78" s="47">
        <v>3831333.3</v>
      </c>
      <c r="E78" s="47">
        <v>790.79053196291204</v>
      </c>
      <c r="F78" s="61">
        <v>0.95730300160986115</v>
      </c>
      <c r="G78" s="61">
        <v>1.2472363333173011</v>
      </c>
      <c r="H78" s="61">
        <v>2965705.5919371275</v>
      </c>
      <c r="I78" s="47">
        <v>3097980.0407496998</v>
      </c>
      <c r="J78" s="47">
        <v>2377821.67879056</v>
      </c>
      <c r="K78" s="47">
        <v>0</v>
      </c>
      <c r="L78" s="105">
        <f t="shared" si="14"/>
        <v>0.64262345645316787</v>
      </c>
      <c r="M78" s="61">
        <f t="shared" si="15"/>
        <v>3113.4725929996262</v>
      </c>
      <c r="O78" s="6">
        <v>2209939.7680701218</v>
      </c>
      <c r="P78" s="47">
        <v>2885715</v>
      </c>
      <c r="Q78" s="47">
        <v>790.79053196291204</v>
      </c>
      <c r="R78" s="61">
        <v>0.62516962821505828</v>
      </c>
      <c r="S78" s="61">
        <v>0.73574416604236215</v>
      </c>
      <c r="T78" s="61">
        <v>1577479.104256188</v>
      </c>
      <c r="U78" s="47">
        <v>2523281.73516698</v>
      </c>
      <c r="V78" s="47">
        <v>2144059.2763943998</v>
      </c>
      <c r="W78" s="47">
        <v>0</v>
      </c>
      <c r="X78" s="105">
        <f t="shared" si="16"/>
        <v>0.76582052214793273</v>
      </c>
      <c r="Y78" s="61">
        <f t="shared" si="17"/>
        <v>2794.5956340480916</v>
      </c>
    </row>
    <row r="79" spans="1:25" ht="22.5" x14ac:dyDescent="0.35">
      <c r="A79" s="7" t="s">
        <v>154</v>
      </c>
      <c r="B79" s="7" t="s">
        <v>62</v>
      </c>
      <c r="C79" s="6">
        <v>1052307.465547984</v>
      </c>
      <c r="D79" s="47">
        <v>2409031.7999999998</v>
      </c>
      <c r="E79" s="47">
        <v>34.873739999999998</v>
      </c>
      <c r="F79" s="61">
        <v>1.000281964338974</v>
      </c>
      <c r="G79" s="61">
        <v>1.4893635046005171</v>
      </c>
      <c r="H79" s="61">
        <v>1501427.13609703</v>
      </c>
      <c r="I79" s="47">
        <v>1501003.9065227299</v>
      </c>
      <c r="J79" s="47">
        <v>1008099.85705924</v>
      </c>
      <c r="K79" s="47">
        <v>0</v>
      </c>
      <c r="L79" s="105">
        <f t="shared" si="14"/>
        <v>0.436817590182074</v>
      </c>
      <c r="M79" s="61">
        <f t="shared" si="15"/>
        <v>30174.780954035446</v>
      </c>
      <c r="O79" s="6">
        <v>616446.585547984</v>
      </c>
      <c r="P79" s="47">
        <v>774553.5</v>
      </c>
      <c r="Q79" s="47">
        <v>34.873739999999998</v>
      </c>
      <c r="R79" s="61">
        <v>0.55461005168126554</v>
      </c>
      <c r="S79" s="61">
        <v>0.68929877843307774</v>
      </c>
      <c r="T79" s="61">
        <v>416369.00626525801</v>
      </c>
      <c r="U79" s="47">
        <v>750741.90415961901</v>
      </c>
      <c r="V79" s="47">
        <v>604047.21333142801</v>
      </c>
      <c r="W79" s="47">
        <v>0</v>
      </c>
      <c r="X79" s="105">
        <f t="shared" si="16"/>
        <v>0.79587347490907212</v>
      </c>
      <c r="Y79" s="61">
        <f t="shared" si="17"/>
        <v>17676.526393440567</v>
      </c>
    </row>
    <row r="80" spans="1:25" ht="22.5" x14ac:dyDescent="0.35">
      <c r="A80" s="7" t="s">
        <v>155</v>
      </c>
      <c r="B80" s="7" t="s">
        <v>63</v>
      </c>
      <c r="C80" s="6">
        <v>653643.22218940244</v>
      </c>
      <c r="D80" s="47">
        <v>1127858.401361</v>
      </c>
      <c r="E80" s="47">
        <v>414.20412314285699</v>
      </c>
      <c r="F80" s="61">
        <v>0.73363616068760973</v>
      </c>
      <c r="G80" s="61">
        <v>0.96395737721016095</v>
      </c>
      <c r="H80" s="61">
        <v>615112.61043491506</v>
      </c>
      <c r="I80" s="47">
        <v>838443.691023072</v>
      </c>
      <c r="J80" s="47">
        <v>638111.83458665397</v>
      </c>
      <c r="K80" s="47">
        <v>0</v>
      </c>
      <c r="L80" s="105">
        <f t="shared" si="14"/>
        <v>0.57954369218746205</v>
      </c>
      <c r="M80" s="61">
        <f t="shared" si="15"/>
        <v>1578.070293530043</v>
      </c>
      <c r="O80" s="6">
        <v>541293.22218940244</v>
      </c>
      <c r="P80" s="47">
        <v>453758.40136100003</v>
      </c>
      <c r="Q80" s="47">
        <v>414.20412314285699</v>
      </c>
      <c r="R80" s="61">
        <v>0.26070733520287476</v>
      </c>
      <c r="S80" s="61">
        <v>0.27330869156261045</v>
      </c>
      <c r="T80" s="61">
        <v>145936.15710608099</v>
      </c>
      <c r="U80" s="47">
        <v>559770.04633382405</v>
      </c>
      <c r="V80" s="47">
        <v>533960.90798177</v>
      </c>
      <c r="W80" s="47">
        <v>0</v>
      </c>
      <c r="X80" s="105">
        <f t="shared" si="16"/>
        <v>1.1929106338656232</v>
      </c>
      <c r="Y80" s="61">
        <f t="shared" si="17"/>
        <v>1306.827218624072</v>
      </c>
    </row>
    <row r="81" spans="1:25" ht="22.5" x14ac:dyDescent="0.35">
      <c r="A81" s="7" t="s">
        <v>156</v>
      </c>
      <c r="B81" s="7" t="s">
        <v>64</v>
      </c>
      <c r="C81" s="6">
        <v>146347.31040901237</v>
      </c>
      <c r="D81" s="47">
        <v>60373</v>
      </c>
      <c r="E81" s="47">
        <v>2.1320000000000001</v>
      </c>
      <c r="F81" s="61">
        <v>0.2023478100826186</v>
      </c>
      <c r="G81" s="61">
        <v>0.22072279281082138</v>
      </c>
      <c r="H81" s="61">
        <v>32111.662852292</v>
      </c>
      <c r="I81" s="47">
        <v>158695.38118144599</v>
      </c>
      <c r="J81" s="47">
        <v>145484.12714138901</v>
      </c>
      <c r="K81" s="47">
        <v>0</v>
      </c>
      <c r="L81" s="105">
        <f t="shared" si="14"/>
        <v>2.4240523149257509</v>
      </c>
      <c r="M81" s="61">
        <f t="shared" si="15"/>
        <v>68643.203756572402</v>
      </c>
      <c r="O81" s="6">
        <v>139927.31040901237</v>
      </c>
      <c r="P81" s="47">
        <v>21853</v>
      </c>
      <c r="Q81" s="47">
        <v>2.1320000000000001</v>
      </c>
      <c r="R81" s="61">
        <v>6.4429794352624178E-2</v>
      </c>
      <c r="S81" s="61">
        <v>6.5882701616506195E-2</v>
      </c>
      <c r="T81" s="61">
        <v>9192.78765721729</v>
      </c>
      <c r="U81" s="47">
        <v>142679.14013360301</v>
      </c>
      <c r="V81" s="47">
        <v>139532.64562110999</v>
      </c>
      <c r="W81" s="47">
        <v>0</v>
      </c>
      <c r="X81" s="105">
        <f t="shared" si="16"/>
        <v>6.4031167532609876</v>
      </c>
      <c r="Y81" s="61">
        <f t="shared" si="17"/>
        <v>65631.946720925116</v>
      </c>
    </row>
    <row r="82" spans="1:25" ht="22.5" x14ac:dyDescent="0.35">
      <c r="A82" s="7" t="s">
        <v>157</v>
      </c>
      <c r="B82" s="7" t="s">
        <v>65</v>
      </c>
      <c r="C82" s="6">
        <v>351586.6626468933</v>
      </c>
      <c r="D82" s="47">
        <v>237719.84578599999</v>
      </c>
      <c r="E82" s="47">
        <v>64.677098999999998</v>
      </c>
      <c r="F82" s="61">
        <v>0.75893581876025784</v>
      </c>
      <c r="G82" s="61">
        <v>0.77243000125494632</v>
      </c>
      <c r="H82" s="61">
        <v>267510.92707865598</v>
      </c>
      <c r="I82" s="47">
        <v>352481.62027145101</v>
      </c>
      <c r="J82" s="47">
        <v>346323.84377100598</v>
      </c>
      <c r="K82" s="47">
        <v>0</v>
      </c>
      <c r="L82" s="105">
        <f t="shared" si="14"/>
        <v>1.4789958385022612</v>
      </c>
      <c r="M82" s="61">
        <f t="shared" si="15"/>
        <v>5436.0301881643345</v>
      </c>
      <c r="O82" s="6">
        <v>350463.1626468933</v>
      </c>
      <c r="P82" s="47">
        <v>230978.84578599999</v>
      </c>
      <c r="Q82" s="47">
        <v>64.677098999999998</v>
      </c>
      <c r="R82" s="61">
        <v>0.50235583836792086</v>
      </c>
      <c r="S82" s="61">
        <v>0.50877571477418571</v>
      </c>
      <c r="T82" s="61">
        <v>175671.26653665901</v>
      </c>
      <c r="U82" s="47">
        <v>349694.88382455899</v>
      </c>
      <c r="V82" s="47">
        <v>345282.33450495702</v>
      </c>
      <c r="W82" s="47">
        <v>0</v>
      </c>
      <c r="X82" s="105">
        <f t="shared" si="16"/>
        <v>1.5172954971451997</v>
      </c>
      <c r="Y82" s="61">
        <f t="shared" si="17"/>
        <v>5418.6592791815428</v>
      </c>
    </row>
    <row r="83" spans="1:25" ht="22.5" x14ac:dyDescent="0.35">
      <c r="A83" s="7" t="s">
        <v>158</v>
      </c>
      <c r="B83" s="7" t="s">
        <v>66</v>
      </c>
      <c r="C83" s="6">
        <v>668058.41338179843</v>
      </c>
      <c r="D83" s="47">
        <v>970039.97615999996</v>
      </c>
      <c r="E83" s="47">
        <v>175.22158703939999</v>
      </c>
      <c r="F83" s="61">
        <v>0.71560418181846264</v>
      </c>
      <c r="G83" s="61">
        <v>0.86415306241203393</v>
      </c>
      <c r="H83" s="61">
        <v>563877.83375901706</v>
      </c>
      <c r="I83" s="47">
        <v>787974.48098488594</v>
      </c>
      <c r="J83" s="47">
        <v>652520.78397444403</v>
      </c>
      <c r="K83" s="47">
        <v>0</v>
      </c>
      <c r="L83" s="105">
        <f t="shared" si="14"/>
        <v>0.68869163106697351</v>
      </c>
      <c r="M83" s="61">
        <f t="shared" si="15"/>
        <v>3812.6490272661445</v>
      </c>
      <c r="O83" s="6">
        <v>645953.06338179833</v>
      </c>
      <c r="P83" s="47">
        <v>837407.87615999999</v>
      </c>
      <c r="Q83" s="47">
        <v>175.22158703939999</v>
      </c>
      <c r="R83" s="61">
        <v>0.4749237045599895</v>
      </c>
      <c r="S83" s="61">
        <v>0.54740980735601819</v>
      </c>
      <c r="T83" s="61">
        <v>345978.67455595802</v>
      </c>
      <c r="U83" s="47">
        <v>728493.16897437803</v>
      </c>
      <c r="V83" s="47">
        <v>632028.637241686</v>
      </c>
      <c r="W83" s="47">
        <v>0</v>
      </c>
      <c r="X83" s="105">
        <f t="shared" si="16"/>
        <v>0.771372089720325</v>
      </c>
      <c r="Y83" s="61">
        <f t="shared" si="17"/>
        <v>3686.4924824391105</v>
      </c>
    </row>
    <row r="84" spans="1:25" ht="22.5" x14ac:dyDescent="0.35">
      <c r="A84" s="7" t="s">
        <v>159</v>
      </c>
      <c r="B84" s="7" t="s">
        <v>200</v>
      </c>
      <c r="C84" s="6">
        <v>2464441.0465844646</v>
      </c>
      <c r="D84" s="47">
        <v>4025880</v>
      </c>
      <c r="E84" s="47">
        <v>466.75363292512498</v>
      </c>
      <c r="F84" s="61">
        <v>1.0243455324257404</v>
      </c>
      <c r="G84" s="61">
        <v>1.4862199316505917</v>
      </c>
      <c r="H84" s="61">
        <v>3539609.4877245701</v>
      </c>
      <c r="I84" s="47">
        <v>3455483.8925713501</v>
      </c>
      <c r="J84" s="47">
        <v>2381618.9060211899</v>
      </c>
      <c r="K84" s="47">
        <v>204.17690488168523</v>
      </c>
      <c r="L84" s="105">
        <f t="shared" si="14"/>
        <v>0.61214965338869132</v>
      </c>
      <c r="M84" s="61">
        <f t="shared" si="15"/>
        <v>5279.9611459688449</v>
      </c>
      <c r="O84" s="6">
        <v>2323201.0465844646</v>
      </c>
      <c r="P84" s="47">
        <v>3496230</v>
      </c>
      <c r="Q84" s="47">
        <v>459.95761360303601</v>
      </c>
      <c r="R84" s="61">
        <v>0.71131614062008708</v>
      </c>
      <c r="S84" s="61">
        <v>0.99207350420930984</v>
      </c>
      <c r="T84" s="61">
        <v>2232846.25699226</v>
      </c>
      <c r="U84" s="47">
        <v>3139034.9937030599</v>
      </c>
      <c r="V84" s="47">
        <v>2250686.3125750502</v>
      </c>
      <c r="W84" s="47">
        <v>204.17690488168523</v>
      </c>
      <c r="X84" s="105">
        <f t="shared" si="16"/>
        <v>0.66448747553349308</v>
      </c>
      <c r="Y84" s="61">
        <f t="shared" si="17"/>
        <v>5050.9024698729982</v>
      </c>
    </row>
    <row r="85" spans="1:25" ht="22.5" x14ac:dyDescent="0.35">
      <c r="A85" s="7" t="s">
        <v>183</v>
      </c>
      <c r="B85" s="7" t="s">
        <v>201</v>
      </c>
      <c r="C85" s="6">
        <v>158120.56664786965</v>
      </c>
      <c r="D85" s="47">
        <v>529727.25378599996</v>
      </c>
      <c r="E85" s="47">
        <v>101.144481704588</v>
      </c>
      <c r="F85" s="61">
        <v>2.4301032898310195</v>
      </c>
      <c r="G85" s="61">
        <v>2.8844343761005664</v>
      </c>
      <c r="H85" s="61">
        <v>433356.5862338703</v>
      </c>
      <c r="I85" s="47">
        <v>178328.463669544</v>
      </c>
      <c r="J85" s="47">
        <v>150239.71071226799</v>
      </c>
      <c r="K85" s="47">
        <v>4.4287672114862824</v>
      </c>
      <c r="L85" s="105">
        <f t="shared" si="14"/>
        <v>0.29849430158212598</v>
      </c>
      <c r="M85" s="61">
        <f t="shared" si="15"/>
        <v>1563.3138257576059</v>
      </c>
      <c r="O85" s="6">
        <v>151572.16664786966</v>
      </c>
      <c r="P85" s="47">
        <v>495059.25378600002</v>
      </c>
      <c r="Q85" s="47">
        <v>101.144481704588</v>
      </c>
      <c r="R85" s="61">
        <v>1.6575235822205103</v>
      </c>
      <c r="S85" s="61">
        <v>1.9206435545351082</v>
      </c>
      <c r="T85" s="61">
        <v>276897.64390044013</v>
      </c>
      <c r="U85" s="47">
        <v>167055.02526214</v>
      </c>
      <c r="V85" s="47">
        <v>144169.19956158299</v>
      </c>
      <c r="W85" s="47">
        <v>4.4287672114862824</v>
      </c>
      <c r="X85" s="105">
        <f t="shared" si="16"/>
        <v>0.30616974733571989</v>
      </c>
      <c r="Y85" s="61">
        <f t="shared" si="17"/>
        <v>1498.5707978668124</v>
      </c>
    </row>
    <row r="86" spans="1:25" ht="22.5" x14ac:dyDescent="0.35">
      <c r="A86" s="7" t="s">
        <v>184</v>
      </c>
      <c r="B86" s="7" t="s">
        <v>67</v>
      </c>
      <c r="C86" s="6">
        <v>123915.39034836867</v>
      </c>
      <c r="D86" s="47">
        <v>319377.69</v>
      </c>
      <c r="E86" s="47">
        <v>23.445923024752499</v>
      </c>
      <c r="F86" s="61">
        <v>1.3222616850201299</v>
      </c>
      <c r="G86" s="61">
        <v>1.8035144246833932</v>
      </c>
      <c r="H86" s="61">
        <v>215497.87782675194</v>
      </c>
      <c r="I86" s="47">
        <v>162976.72409941399</v>
      </c>
      <c r="J86" s="47">
        <v>119487.74840799101</v>
      </c>
      <c r="K86" s="47">
        <v>0</v>
      </c>
      <c r="L86" s="105">
        <f t="shared" si="14"/>
        <v>0.38799012651249581</v>
      </c>
      <c r="M86" s="61">
        <f t="shared" si="15"/>
        <v>5285.1572624181963</v>
      </c>
      <c r="O86" s="6">
        <v>96630.390348368659</v>
      </c>
      <c r="P86" s="47">
        <v>174927.69</v>
      </c>
      <c r="Q86" s="47">
        <v>23.445923024752499</v>
      </c>
      <c r="R86" s="61">
        <v>0.89597560145673794</v>
      </c>
      <c r="S86" s="61">
        <v>0.97427031586568535</v>
      </c>
      <c r="T86" s="61">
        <v>91770.371315850891</v>
      </c>
      <c r="U86" s="47">
        <v>102425.078502857</v>
      </c>
      <c r="V86" s="47">
        <v>94193.951946804998</v>
      </c>
      <c r="W86" s="47">
        <v>0</v>
      </c>
      <c r="X86" s="105">
        <f t="shared" si="16"/>
        <v>0.55240191160340968</v>
      </c>
      <c r="Y86" s="61">
        <f t="shared" si="17"/>
        <v>4121.4154907168004</v>
      </c>
    </row>
    <row r="87" spans="1:25" ht="22.5" x14ac:dyDescent="0.35">
      <c r="A87" s="7" t="s">
        <v>160</v>
      </c>
      <c r="B87" s="7" t="s">
        <v>202</v>
      </c>
      <c r="C87" s="6">
        <v>97627.094599048447</v>
      </c>
      <c r="D87" s="47">
        <v>77040</v>
      </c>
      <c r="E87" s="47">
        <v>0</v>
      </c>
      <c r="F87" s="61">
        <v>0.33898073134058504</v>
      </c>
      <c r="G87" s="61">
        <v>0.42275470339942695</v>
      </c>
      <c r="H87" s="61">
        <v>40833.261821070198</v>
      </c>
      <c r="I87" s="47">
        <v>120458.946617953</v>
      </c>
      <c r="J87" s="47">
        <v>96588.545302333703</v>
      </c>
      <c r="K87" s="47">
        <v>0</v>
      </c>
      <c r="L87" s="105">
        <f t="shared" si="14"/>
        <v>1.2672260461974096</v>
      </c>
      <c r="M87" s="61">
        <v>0</v>
      </c>
      <c r="O87" s="6">
        <v>83396.094599048447</v>
      </c>
      <c r="P87" s="47">
        <v>0</v>
      </c>
      <c r="Q87" s="47">
        <v>0</v>
      </c>
      <c r="R87" s="61">
        <v>0</v>
      </c>
      <c r="S87" s="61">
        <v>0</v>
      </c>
      <c r="T87" s="61">
        <v>0</v>
      </c>
      <c r="U87" s="47">
        <v>83396.094599048403</v>
      </c>
      <c r="V87" s="47">
        <v>83396.094599048403</v>
      </c>
      <c r="W87" s="47">
        <v>0</v>
      </c>
      <c r="X87" s="105" t="e">
        <f t="shared" si="16"/>
        <v>#DIV/0!</v>
      </c>
      <c r="Y87" s="61">
        <v>0</v>
      </c>
    </row>
    <row r="88" spans="1:25" ht="22.95" x14ac:dyDescent="0.35">
      <c r="A88" s="23"/>
      <c r="B88" s="23" t="s">
        <v>68</v>
      </c>
      <c r="C88" s="24">
        <f>SUM(C58:C87)</f>
        <v>18783468.018394582</v>
      </c>
      <c r="D88" s="53">
        <f>SUM(D58:D87)</f>
        <v>31981316.793667115</v>
      </c>
      <c r="E88" s="53">
        <f>SUM(E58:E87)</f>
        <v>3504.0033930765203</v>
      </c>
      <c r="F88" s="91">
        <f>H88/I88</f>
        <v>0.77336581190264853</v>
      </c>
      <c r="G88" s="91">
        <f>H88/J88</f>
        <v>1.1126931877655768</v>
      </c>
      <c r="H88" s="100">
        <f>SUM(H58:H87)</f>
        <v>20155465.075103819</v>
      </c>
      <c r="I88" s="100">
        <f>SUM(I58:I87)</f>
        <v>26062006.834148746</v>
      </c>
      <c r="J88" s="100">
        <f>SUM(J58:J87)</f>
        <v>18114126.424714115</v>
      </c>
      <c r="K88" s="53">
        <f>SUM(K58:K87)</f>
        <v>224.807650622773</v>
      </c>
      <c r="L88" s="113">
        <f t="shared" si="14"/>
        <v>0.58732628614322879</v>
      </c>
      <c r="M88" s="91">
        <f>C88/E88</f>
        <v>5360.5735814949276</v>
      </c>
      <c r="O88" s="24">
        <f>SUM(O58:O87)</f>
        <v>16995690.173956651</v>
      </c>
      <c r="P88" s="53">
        <f>SUM(P58:P87)</f>
        <v>23404868.313667115</v>
      </c>
      <c r="Q88" s="53">
        <f>SUM(Q58:Q87)</f>
        <v>3493.4650831372514</v>
      </c>
      <c r="R88" s="91">
        <f>T88/U88</f>
        <v>0.50483898394772353</v>
      </c>
      <c r="S88" s="91">
        <f>T88/V88</f>
        <v>0.65953215505574037</v>
      </c>
      <c r="T88" s="100">
        <f>SUM(T58:T87)</f>
        <v>10853799.950870026</v>
      </c>
      <c r="U88" s="100">
        <f>SUM(U58:U87)</f>
        <v>21499528.158455264</v>
      </c>
      <c r="V88" s="100">
        <f>SUM(V58:V87)</f>
        <v>16456816.953758255</v>
      </c>
      <c r="W88" s="53">
        <f>SUM(W58:W87)</f>
        <v>224.807650622773</v>
      </c>
      <c r="X88" s="113">
        <f t="shared" si="16"/>
        <v>0.7261604699579588</v>
      </c>
      <c r="Y88" s="91">
        <f>O88/Q88</f>
        <v>4864.9950033832711</v>
      </c>
    </row>
    <row r="89" spans="1:25" ht="22.95" x14ac:dyDescent="0.35">
      <c r="A89" s="2"/>
      <c r="B89" s="2"/>
      <c r="C89" s="25"/>
      <c r="D89" s="54"/>
      <c r="E89" s="54"/>
      <c r="F89" s="54"/>
      <c r="G89" s="54"/>
      <c r="H89" s="54"/>
      <c r="I89" s="54"/>
      <c r="J89" s="54"/>
      <c r="K89" s="54"/>
      <c r="L89" s="125"/>
      <c r="M89" s="125"/>
      <c r="O89" s="25"/>
      <c r="P89" s="54"/>
      <c r="Q89" s="54"/>
      <c r="R89" s="54"/>
      <c r="S89" s="54"/>
      <c r="T89" s="54"/>
      <c r="U89" s="54"/>
      <c r="V89" s="54"/>
      <c r="W89" s="54"/>
      <c r="X89" s="125"/>
      <c r="Y89" s="125"/>
    </row>
    <row r="90" spans="1:25" ht="22.95" x14ac:dyDescent="0.35">
      <c r="A90" s="26" t="s">
        <v>186</v>
      </c>
      <c r="B90" s="26" t="s">
        <v>69</v>
      </c>
      <c r="C90" s="27">
        <v>5661247.5744060008</v>
      </c>
      <c r="D90" s="55">
        <v>660569233.53682208</v>
      </c>
      <c r="E90" s="55">
        <v>128584.95746406852</v>
      </c>
      <c r="F90" s="55"/>
      <c r="G90" s="55"/>
      <c r="H90" s="55" t="s">
        <v>207</v>
      </c>
      <c r="I90" s="55" t="s">
        <v>207</v>
      </c>
      <c r="J90" s="55" t="s">
        <v>207</v>
      </c>
      <c r="K90" s="55">
        <v>0</v>
      </c>
      <c r="L90" s="114">
        <v>0</v>
      </c>
      <c r="M90" s="114">
        <v>0</v>
      </c>
      <c r="O90" s="27">
        <v>5661247.5744060008</v>
      </c>
      <c r="P90" s="55">
        <v>421000000</v>
      </c>
      <c r="Q90" s="55">
        <v>106000</v>
      </c>
      <c r="R90" s="55"/>
      <c r="S90" s="55"/>
      <c r="T90" s="55" t="s">
        <v>207</v>
      </c>
      <c r="U90" s="55" t="s">
        <v>207</v>
      </c>
      <c r="V90" s="55" t="s">
        <v>207</v>
      </c>
      <c r="W90" s="55">
        <v>0</v>
      </c>
      <c r="X90" s="114">
        <v>0</v>
      </c>
      <c r="Y90" s="114">
        <v>0</v>
      </c>
    </row>
    <row r="91" spans="1:25" ht="26.55" x14ac:dyDescent="0.35">
      <c r="A91" s="14"/>
      <c r="B91" s="14" t="s">
        <v>102</v>
      </c>
      <c r="C91" s="28"/>
      <c r="D91" s="56">
        <v>30881957</v>
      </c>
      <c r="E91" s="56">
        <v>4486</v>
      </c>
      <c r="F91" s="56"/>
      <c r="G91" s="56"/>
      <c r="H91" s="56" t="s">
        <v>207</v>
      </c>
      <c r="I91" s="56" t="s">
        <v>207</v>
      </c>
      <c r="J91" s="56" t="s">
        <v>207</v>
      </c>
      <c r="K91" s="56">
        <v>0</v>
      </c>
      <c r="L91" s="115">
        <v>0</v>
      </c>
      <c r="M91" s="115">
        <v>0</v>
      </c>
      <c r="O91" s="28"/>
      <c r="P91" s="56">
        <v>30881957</v>
      </c>
      <c r="Q91" s="56">
        <v>4486</v>
      </c>
      <c r="R91" s="56"/>
      <c r="S91" s="56"/>
      <c r="T91" s="56" t="s">
        <v>207</v>
      </c>
      <c r="U91" s="56" t="s">
        <v>207</v>
      </c>
      <c r="V91" s="56" t="s">
        <v>207</v>
      </c>
      <c r="W91" s="56">
        <v>0</v>
      </c>
      <c r="X91" s="115">
        <v>0</v>
      </c>
      <c r="Y91" s="115">
        <v>0</v>
      </c>
    </row>
    <row r="92" spans="1:25" ht="22.95" x14ac:dyDescent="0.35">
      <c r="A92" s="2"/>
      <c r="B92" s="2"/>
      <c r="C92" s="29"/>
      <c r="D92" s="57"/>
      <c r="E92" s="57"/>
      <c r="F92" s="57"/>
      <c r="G92" s="57"/>
      <c r="H92" s="57"/>
      <c r="I92" s="57"/>
      <c r="J92" s="57"/>
      <c r="K92" s="57"/>
      <c r="L92" s="126"/>
      <c r="M92" s="126"/>
      <c r="O92" s="29"/>
      <c r="P92" s="57"/>
      <c r="Q92" s="57"/>
      <c r="R92" s="57"/>
      <c r="S92" s="57"/>
      <c r="T92" s="57"/>
      <c r="U92" s="57"/>
      <c r="V92" s="57"/>
      <c r="W92" s="57"/>
      <c r="X92" s="126"/>
      <c r="Y92" s="126"/>
    </row>
    <row r="93" spans="1:25" ht="26.55" x14ac:dyDescent="0.35">
      <c r="A93" s="30"/>
      <c r="B93" s="30" t="s">
        <v>101</v>
      </c>
      <c r="C93" s="31">
        <f>C90+C88+C55+C17</f>
        <v>229548256.6433256</v>
      </c>
      <c r="D93" s="58">
        <f>D90+D88+D55+D17+D91</f>
        <v>1400042666.7681656</v>
      </c>
      <c r="E93" s="58">
        <f>E90+E88+E55+E17+E91</f>
        <v>279649.53434907761</v>
      </c>
      <c r="F93" s="94">
        <f>H93/I93</f>
        <v>1.2947834186043254</v>
      </c>
      <c r="G93" s="94">
        <f>H93/J93</f>
        <v>1.8545876915921777</v>
      </c>
      <c r="H93" s="99">
        <f>H88+H55+H17</f>
        <v>395655782.73414785</v>
      </c>
      <c r="I93" s="99">
        <f>I88+I55+I17</f>
        <v>305576806.93859488</v>
      </c>
      <c r="J93" s="99">
        <f>J88+J55+J17</f>
        <v>213338945.6469833</v>
      </c>
      <c r="K93" s="58">
        <f>K90+K88+K55+K17+K91</f>
        <v>7523.9071706164177</v>
      </c>
      <c r="L93" s="116">
        <f>C93/D93</f>
        <v>0.16395804363106364</v>
      </c>
      <c r="M93" s="141">
        <f>C93/E93</f>
        <v>820.84262066672284</v>
      </c>
      <c r="O93" s="31">
        <f>O90+O88+O55+O17</f>
        <v>188438191.4638021</v>
      </c>
      <c r="P93" s="58">
        <f>P90+P88+P55+P17+P91</f>
        <v>918859766.76049376</v>
      </c>
      <c r="Q93" s="58">
        <f>Q90+Q88+Q55+Q17+Q91</f>
        <v>224541.42869278719</v>
      </c>
      <c r="R93" s="94">
        <f>T93/U93</f>
        <v>0.79782452033382745</v>
      </c>
      <c r="S93" s="94">
        <f>T93/V93</f>
        <v>1.1582980271034133</v>
      </c>
      <c r="T93" s="99">
        <f>T88+T55+T17</f>
        <v>202967415.426853</v>
      </c>
      <c r="U93" s="99">
        <f>U88+U55+U17</f>
        <v>254401074.7400029</v>
      </c>
      <c r="V93" s="99">
        <f>V88+V55+V17</f>
        <v>175229009.00938165</v>
      </c>
      <c r="W93" s="58">
        <f>W90+W88+W55+W17+W91</f>
        <v>7523.9071706164177</v>
      </c>
      <c r="X93" s="116">
        <f>O93/P93</f>
        <v>0.20507829190100957</v>
      </c>
      <c r="Y93" s="141">
        <f>O93/Q93</f>
        <v>839.21346969613887</v>
      </c>
    </row>
    <row r="94" spans="1:25" ht="22.95" x14ac:dyDescent="0.5">
      <c r="A94" s="2"/>
      <c r="B94" s="2"/>
      <c r="C94" s="32"/>
      <c r="D94" s="59"/>
      <c r="E94" s="59"/>
      <c r="K94" s="59"/>
      <c r="L94" s="127"/>
      <c r="M94" s="127"/>
      <c r="O94" s="32"/>
      <c r="P94" s="59"/>
      <c r="Q94" s="59"/>
      <c r="W94" s="59"/>
      <c r="X94" s="127"/>
      <c r="Y94" s="127"/>
    </row>
    <row r="95" spans="1:25" ht="22.95" x14ac:dyDescent="0.35">
      <c r="A95" s="3"/>
      <c r="B95" s="3" t="s">
        <v>70</v>
      </c>
      <c r="C95" s="35"/>
      <c r="D95" s="35"/>
      <c r="E95" s="35"/>
      <c r="F95" s="35"/>
      <c r="G95" s="35"/>
      <c r="H95" s="35"/>
      <c r="I95" s="35"/>
      <c r="J95" s="35"/>
      <c r="K95" s="35"/>
      <c r="L95" s="128"/>
      <c r="M95" s="128"/>
      <c r="O95" s="35"/>
      <c r="P95" s="35"/>
      <c r="Q95" s="35"/>
      <c r="R95" s="35"/>
      <c r="S95" s="35"/>
      <c r="T95" s="35"/>
      <c r="U95" s="35"/>
      <c r="V95" s="35"/>
      <c r="W95" s="35"/>
      <c r="X95" s="128"/>
      <c r="Y95" s="128"/>
    </row>
    <row r="96" spans="1:25" ht="22.5" x14ac:dyDescent="0.35">
      <c r="A96" s="7" t="s">
        <v>163</v>
      </c>
      <c r="B96" s="7" t="s">
        <v>71</v>
      </c>
      <c r="C96" s="6">
        <v>93023.813566368175</v>
      </c>
      <c r="D96" s="63"/>
      <c r="E96" s="63"/>
      <c r="F96" s="80">
        <v>0</v>
      </c>
      <c r="G96" s="80">
        <v>0</v>
      </c>
      <c r="H96" s="80">
        <v>0</v>
      </c>
      <c r="I96" s="47">
        <v>93023.813566368204</v>
      </c>
      <c r="J96" s="47">
        <v>93023.813566368204</v>
      </c>
      <c r="K96" s="63"/>
      <c r="L96" s="118"/>
      <c r="M96" s="118"/>
      <c r="O96" s="6">
        <v>93023.813566368175</v>
      </c>
      <c r="P96" s="63"/>
      <c r="Q96" s="63"/>
      <c r="R96" s="80">
        <v>0</v>
      </c>
      <c r="S96" s="80">
        <v>0</v>
      </c>
      <c r="T96" s="80">
        <v>0</v>
      </c>
      <c r="U96" s="47">
        <v>93023.813566368204</v>
      </c>
      <c r="V96" s="47">
        <v>93023.813566368204</v>
      </c>
      <c r="W96" s="63"/>
      <c r="X96" s="118"/>
      <c r="Y96" s="118"/>
    </row>
    <row r="97" spans="1:25" ht="22.5" x14ac:dyDescent="0.35">
      <c r="A97" s="7" t="s">
        <v>164</v>
      </c>
      <c r="B97" s="7" t="s">
        <v>72</v>
      </c>
      <c r="C97" s="6">
        <v>4349569.9093552595</v>
      </c>
      <c r="D97" s="63"/>
      <c r="E97" s="63"/>
      <c r="F97" s="80">
        <v>0</v>
      </c>
      <c r="G97" s="80">
        <v>0</v>
      </c>
      <c r="H97" s="80">
        <v>0</v>
      </c>
      <c r="I97" s="47">
        <v>4349569.9093552604</v>
      </c>
      <c r="J97" s="47">
        <v>4349569.9093552604</v>
      </c>
      <c r="K97" s="63"/>
      <c r="L97" s="118"/>
      <c r="M97" s="118"/>
      <c r="O97" s="6">
        <v>4349569.9093552595</v>
      </c>
      <c r="P97" s="63"/>
      <c r="Q97" s="63"/>
      <c r="R97" s="80">
        <v>0</v>
      </c>
      <c r="S97" s="80">
        <v>0</v>
      </c>
      <c r="T97" s="80">
        <v>0</v>
      </c>
      <c r="U97" s="47">
        <v>4349569.9093552604</v>
      </c>
      <c r="V97" s="47">
        <v>4349569.9093552604</v>
      </c>
      <c r="W97" s="63"/>
      <c r="X97" s="118"/>
      <c r="Y97" s="118"/>
    </row>
    <row r="98" spans="1:25" ht="22.5" x14ac:dyDescent="0.35">
      <c r="A98" s="7" t="s">
        <v>165</v>
      </c>
      <c r="B98" s="7" t="s">
        <v>73</v>
      </c>
      <c r="C98" s="6">
        <v>0</v>
      </c>
      <c r="D98" s="63"/>
      <c r="E98" s="63"/>
      <c r="F98" s="80">
        <v>0</v>
      </c>
      <c r="G98" s="80">
        <v>0</v>
      </c>
      <c r="H98" s="80">
        <v>0</v>
      </c>
      <c r="I98" s="80">
        <v>0</v>
      </c>
      <c r="J98" s="80">
        <v>0</v>
      </c>
      <c r="K98" s="63"/>
      <c r="L98" s="118"/>
      <c r="M98" s="118"/>
      <c r="O98" s="6">
        <v>0</v>
      </c>
      <c r="P98" s="63"/>
      <c r="Q98" s="63"/>
      <c r="R98" s="80">
        <v>0</v>
      </c>
      <c r="S98" s="80">
        <v>0</v>
      </c>
      <c r="T98" s="80">
        <v>0</v>
      </c>
      <c r="U98" s="80">
        <v>0</v>
      </c>
      <c r="V98" s="80">
        <v>0</v>
      </c>
      <c r="W98" s="63"/>
      <c r="X98" s="118"/>
      <c r="Y98" s="118"/>
    </row>
    <row r="99" spans="1:25" ht="22.5" x14ac:dyDescent="0.35">
      <c r="A99" s="7" t="s">
        <v>175</v>
      </c>
      <c r="B99" s="7" t="s">
        <v>87</v>
      </c>
      <c r="C99" s="6">
        <v>0</v>
      </c>
      <c r="D99" s="63"/>
      <c r="E99" s="63"/>
      <c r="F99" s="80">
        <v>0</v>
      </c>
      <c r="G99" s="80">
        <v>0</v>
      </c>
      <c r="H99" s="80">
        <v>0</v>
      </c>
      <c r="I99" s="80">
        <v>0</v>
      </c>
      <c r="J99" s="80">
        <v>0</v>
      </c>
      <c r="K99" s="63"/>
      <c r="L99" s="118"/>
      <c r="M99" s="118"/>
      <c r="O99" s="6">
        <v>0</v>
      </c>
      <c r="P99" s="63"/>
      <c r="Q99" s="63"/>
      <c r="R99" s="80">
        <v>0</v>
      </c>
      <c r="S99" s="80">
        <v>0</v>
      </c>
      <c r="T99" s="80">
        <v>0</v>
      </c>
      <c r="U99" s="80">
        <v>0</v>
      </c>
      <c r="V99" s="80">
        <v>0</v>
      </c>
      <c r="W99" s="63"/>
      <c r="X99" s="118"/>
      <c r="Y99" s="118"/>
    </row>
    <row r="100" spans="1:25" ht="22.95" x14ac:dyDescent="0.35">
      <c r="A100" s="3"/>
      <c r="B100" s="3" t="s">
        <v>74</v>
      </c>
      <c r="C100" s="34">
        <f>SUM(C96:C99)</f>
        <v>4442593.7229216276</v>
      </c>
      <c r="D100" s="34"/>
      <c r="E100" s="34"/>
      <c r="F100" s="34"/>
      <c r="G100" s="34"/>
      <c r="H100" s="34"/>
      <c r="I100" s="34">
        <f>SUM(I96:I99)</f>
        <v>4442593.7229216285</v>
      </c>
      <c r="J100" s="34">
        <f>SUM(J96:J99)</f>
        <v>4442593.7229216285</v>
      </c>
      <c r="K100" s="34"/>
      <c r="L100" s="128"/>
      <c r="M100" s="128"/>
      <c r="O100" s="34">
        <f>SUM(O96:O99)</f>
        <v>4442593.7229216276</v>
      </c>
      <c r="P100" s="34"/>
      <c r="Q100" s="34"/>
      <c r="R100" s="34"/>
      <c r="S100" s="34"/>
      <c r="T100" s="34"/>
      <c r="U100" s="34">
        <f>SUM(U96:U99)</f>
        <v>4442593.7229216285</v>
      </c>
      <c r="V100" s="34">
        <f>SUM(V96:V99)</f>
        <v>4442593.7229216285</v>
      </c>
      <c r="W100" s="34"/>
      <c r="X100" s="128"/>
      <c r="Y100" s="128"/>
    </row>
    <row r="101" spans="1:25" s="33" customFormat="1" ht="22.5" x14ac:dyDescent="0.45">
      <c r="C101" s="36"/>
      <c r="D101" s="36"/>
      <c r="E101" s="36"/>
      <c r="F101" s="36"/>
      <c r="G101" s="36"/>
      <c r="H101" s="36"/>
      <c r="I101" s="36"/>
      <c r="J101" s="36"/>
      <c r="K101" s="36"/>
      <c r="L101" s="129"/>
      <c r="M101" s="129"/>
      <c r="O101" s="36"/>
      <c r="P101" s="36"/>
      <c r="Q101" s="36"/>
      <c r="R101" s="36"/>
      <c r="S101" s="36"/>
      <c r="T101" s="36"/>
      <c r="U101" s="36"/>
      <c r="V101" s="36"/>
      <c r="W101" s="36"/>
      <c r="X101" s="129"/>
      <c r="Y101" s="129"/>
    </row>
    <row r="102" spans="1:25" ht="22.95" x14ac:dyDescent="0.35">
      <c r="A102" s="11"/>
      <c r="B102" s="11" t="s">
        <v>75</v>
      </c>
      <c r="C102" s="38"/>
      <c r="D102" s="38"/>
      <c r="E102" s="38"/>
      <c r="F102" s="38"/>
      <c r="G102" s="38"/>
      <c r="H102" s="38"/>
      <c r="I102" s="38"/>
      <c r="J102" s="38"/>
      <c r="K102" s="38"/>
      <c r="L102" s="130"/>
      <c r="M102" s="130"/>
      <c r="O102" s="38"/>
      <c r="P102" s="38"/>
      <c r="Q102" s="38"/>
      <c r="R102" s="38"/>
      <c r="S102" s="38"/>
      <c r="T102" s="38"/>
      <c r="U102" s="38"/>
      <c r="V102" s="38"/>
      <c r="W102" s="38"/>
      <c r="X102" s="130"/>
      <c r="Y102" s="130"/>
    </row>
    <row r="103" spans="1:25" ht="22.5" x14ac:dyDescent="0.35">
      <c r="A103" s="7" t="s">
        <v>166</v>
      </c>
      <c r="B103" s="7" t="s">
        <v>76</v>
      </c>
      <c r="C103" s="6">
        <v>2107811.2775197369</v>
      </c>
      <c r="D103" s="63"/>
      <c r="E103" s="63"/>
      <c r="F103" s="80">
        <v>0</v>
      </c>
      <c r="G103" s="80">
        <v>0</v>
      </c>
      <c r="H103" s="80">
        <v>0</v>
      </c>
      <c r="I103" s="47">
        <v>2107811.2775197402</v>
      </c>
      <c r="J103" s="47">
        <v>2107811.2775197402</v>
      </c>
      <c r="K103" s="63"/>
      <c r="L103" s="118"/>
      <c r="M103" s="118"/>
      <c r="O103" s="6">
        <v>2107811.2775197369</v>
      </c>
      <c r="P103" s="63"/>
      <c r="Q103" s="63"/>
      <c r="R103" s="80">
        <v>0</v>
      </c>
      <c r="S103" s="80">
        <v>0</v>
      </c>
      <c r="T103" s="80">
        <v>0</v>
      </c>
      <c r="U103" s="47">
        <v>2107811.2775197402</v>
      </c>
      <c r="V103" s="47">
        <v>2107811.2775197402</v>
      </c>
      <c r="W103" s="63"/>
      <c r="X103" s="118"/>
      <c r="Y103" s="118"/>
    </row>
    <row r="104" spans="1:25" ht="22.5" x14ac:dyDescent="0.35">
      <c r="A104" s="7" t="s">
        <v>167</v>
      </c>
      <c r="B104" s="7" t="s">
        <v>77</v>
      </c>
      <c r="C104" s="6">
        <v>407304.34580523078</v>
      </c>
      <c r="D104" s="63"/>
      <c r="E104" s="63"/>
      <c r="F104" s="80">
        <v>0</v>
      </c>
      <c r="G104" s="80">
        <v>0</v>
      </c>
      <c r="H104" s="80">
        <v>0</v>
      </c>
      <c r="I104" s="47">
        <v>407304.34580523102</v>
      </c>
      <c r="J104" s="47">
        <v>407304.34580523102</v>
      </c>
      <c r="K104" s="63"/>
      <c r="L104" s="118"/>
      <c r="M104" s="118"/>
      <c r="O104" s="6">
        <v>407304.34580523078</v>
      </c>
      <c r="P104" s="63"/>
      <c r="Q104" s="63"/>
      <c r="R104" s="80">
        <v>0</v>
      </c>
      <c r="S104" s="80">
        <v>0</v>
      </c>
      <c r="T104" s="80">
        <v>0</v>
      </c>
      <c r="U104" s="47">
        <v>407304.34580523102</v>
      </c>
      <c r="V104" s="47">
        <v>407304.34580523102</v>
      </c>
      <c r="W104" s="63"/>
      <c r="X104" s="118"/>
      <c r="Y104" s="118"/>
    </row>
    <row r="105" spans="1:25" ht="22.5" x14ac:dyDescent="0.35">
      <c r="A105" s="7" t="s">
        <v>168</v>
      </c>
      <c r="B105" s="7" t="s">
        <v>78</v>
      </c>
      <c r="C105" s="6">
        <v>770177.25881209597</v>
      </c>
      <c r="D105" s="63"/>
      <c r="E105" s="63"/>
      <c r="F105" s="80">
        <v>0</v>
      </c>
      <c r="G105" s="80">
        <v>0</v>
      </c>
      <c r="H105" s="80">
        <v>0</v>
      </c>
      <c r="I105" s="47">
        <v>770177.25881209597</v>
      </c>
      <c r="J105" s="47">
        <v>770177.25881209597</v>
      </c>
      <c r="K105" s="63"/>
      <c r="L105" s="118"/>
      <c r="M105" s="118"/>
      <c r="O105" s="6">
        <v>770177.25881209597</v>
      </c>
      <c r="P105" s="63"/>
      <c r="Q105" s="63"/>
      <c r="R105" s="80">
        <v>0</v>
      </c>
      <c r="S105" s="80">
        <v>0</v>
      </c>
      <c r="T105" s="80">
        <v>0</v>
      </c>
      <c r="U105" s="47">
        <v>770177.25881209597</v>
      </c>
      <c r="V105" s="47">
        <v>770177.25881209597</v>
      </c>
      <c r="W105" s="63"/>
      <c r="X105" s="118"/>
      <c r="Y105" s="118"/>
    </row>
    <row r="106" spans="1:25" ht="22.5" x14ac:dyDescent="0.35">
      <c r="A106" s="7" t="s">
        <v>169</v>
      </c>
      <c r="B106" s="7" t="s">
        <v>79</v>
      </c>
      <c r="C106" s="6">
        <v>343814.22590423905</v>
      </c>
      <c r="D106" s="63"/>
      <c r="E106" s="63"/>
      <c r="F106" s="80">
        <v>0</v>
      </c>
      <c r="G106" s="80">
        <v>0</v>
      </c>
      <c r="H106" s="80">
        <v>0</v>
      </c>
      <c r="I106" s="47">
        <v>343814.22590423899</v>
      </c>
      <c r="J106" s="47">
        <v>343814.22590423899</v>
      </c>
      <c r="K106" s="63"/>
      <c r="L106" s="118"/>
      <c r="M106" s="118"/>
      <c r="O106" s="6">
        <v>343814.22590423905</v>
      </c>
      <c r="P106" s="63"/>
      <c r="Q106" s="63"/>
      <c r="R106" s="80">
        <v>0</v>
      </c>
      <c r="S106" s="80">
        <v>0</v>
      </c>
      <c r="T106" s="80">
        <v>0</v>
      </c>
      <c r="U106" s="47">
        <v>343814.22590423899</v>
      </c>
      <c r="V106" s="47">
        <v>343814.22590423899</v>
      </c>
      <c r="W106" s="63"/>
      <c r="X106" s="118"/>
      <c r="Y106" s="118"/>
    </row>
    <row r="107" spans="1:25" ht="22.5" x14ac:dyDescent="0.35">
      <c r="A107" s="7" t="s">
        <v>170</v>
      </c>
      <c r="B107" s="7" t="s">
        <v>80</v>
      </c>
      <c r="C107" s="6">
        <v>2072061.9582732215</v>
      </c>
      <c r="D107" s="63"/>
      <c r="E107" s="63"/>
      <c r="F107" s="80">
        <v>0</v>
      </c>
      <c r="G107" s="80">
        <v>0</v>
      </c>
      <c r="H107" s="80">
        <v>0</v>
      </c>
      <c r="I107" s="47">
        <v>2072061.9582732201</v>
      </c>
      <c r="J107" s="47">
        <v>2072061.9582732201</v>
      </c>
      <c r="K107" s="63"/>
      <c r="L107" s="118"/>
      <c r="M107" s="118"/>
      <c r="O107" s="6">
        <v>2072061.9582732215</v>
      </c>
      <c r="P107" s="63"/>
      <c r="Q107" s="63"/>
      <c r="R107" s="80">
        <v>0</v>
      </c>
      <c r="S107" s="80">
        <v>0</v>
      </c>
      <c r="T107" s="80">
        <v>0</v>
      </c>
      <c r="U107" s="47">
        <v>2072061.9582732201</v>
      </c>
      <c r="V107" s="47">
        <v>2072061.9582732201</v>
      </c>
      <c r="W107" s="63"/>
      <c r="X107" s="118"/>
      <c r="Y107" s="118"/>
    </row>
    <row r="108" spans="1:25" ht="22.5" x14ac:dyDescent="0.35">
      <c r="A108" s="7" t="s">
        <v>171</v>
      </c>
      <c r="B108" s="7" t="s">
        <v>81</v>
      </c>
      <c r="C108" s="6">
        <v>69322.099532619774</v>
      </c>
      <c r="D108" s="63"/>
      <c r="E108" s="63"/>
      <c r="F108" s="80">
        <v>0</v>
      </c>
      <c r="G108" s="80">
        <v>0</v>
      </c>
      <c r="H108" s="80">
        <v>0</v>
      </c>
      <c r="I108" s="47">
        <v>69322.099532619803</v>
      </c>
      <c r="J108" s="47">
        <v>69322.099532619803</v>
      </c>
      <c r="K108" s="63"/>
      <c r="L108" s="118"/>
      <c r="M108" s="118"/>
      <c r="O108" s="6">
        <v>69322.099532619774</v>
      </c>
      <c r="P108" s="63"/>
      <c r="Q108" s="63"/>
      <c r="R108" s="80">
        <v>0</v>
      </c>
      <c r="S108" s="80">
        <v>0</v>
      </c>
      <c r="T108" s="80">
        <v>0</v>
      </c>
      <c r="U108" s="47">
        <v>69322.099532619803</v>
      </c>
      <c r="V108" s="47">
        <v>69322.099532619803</v>
      </c>
      <c r="W108" s="63"/>
      <c r="X108" s="118"/>
      <c r="Y108" s="118"/>
    </row>
    <row r="109" spans="1:25" ht="22.5" x14ac:dyDescent="0.35">
      <c r="A109" s="7" t="s">
        <v>172</v>
      </c>
      <c r="B109" s="7" t="s">
        <v>82</v>
      </c>
      <c r="C109" s="6">
        <v>1428166.4629099849</v>
      </c>
      <c r="D109" s="63"/>
      <c r="E109" s="63"/>
      <c r="F109" s="80">
        <v>0</v>
      </c>
      <c r="G109" s="80">
        <v>0</v>
      </c>
      <c r="H109" s="80">
        <v>0</v>
      </c>
      <c r="I109" s="47">
        <v>1428166.46290998</v>
      </c>
      <c r="J109" s="47">
        <v>1428166.46290998</v>
      </c>
      <c r="K109" s="63"/>
      <c r="L109" s="118"/>
      <c r="M109" s="118"/>
      <c r="O109" s="6">
        <v>1428166.4629099849</v>
      </c>
      <c r="P109" s="63"/>
      <c r="Q109" s="63"/>
      <c r="R109" s="80">
        <v>0</v>
      </c>
      <c r="S109" s="80">
        <v>0</v>
      </c>
      <c r="T109" s="80">
        <v>0</v>
      </c>
      <c r="U109" s="47">
        <v>1428166.46290998</v>
      </c>
      <c r="V109" s="47">
        <v>1428166.46290998</v>
      </c>
      <c r="W109" s="63"/>
      <c r="X109" s="118"/>
      <c r="Y109" s="118"/>
    </row>
    <row r="110" spans="1:25" ht="22.5" x14ac:dyDescent="0.35">
      <c r="A110" s="7" t="s">
        <v>173</v>
      </c>
      <c r="B110" s="7" t="s">
        <v>83</v>
      </c>
      <c r="C110" s="6">
        <v>0</v>
      </c>
      <c r="D110" s="63"/>
      <c r="E110" s="63"/>
      <c r="F110" s="80">
        <v>0</v>
      </c>
      <c r="G110" s="80">
        <v>0</v>
      </c>
      <c r="H110" s="80">
        <v>0</v>
      </c>
      <c r="I110" s="80">
        <v>0</v>
      </c>
      <c r="J110" s="80">
        <v>0</v>
      </c>
      <c r="K110" s="63"/>
      <c r="L110" s="118"/>
      <c r="M110" s="118"/>
      <c r="O110" s="6">
        <v>0</v>
      </c>
      <c r="P110" s="63"/>
      <c r="Q110" s="63"/>
      <c r="R110" s="80">
        <v>0</v>
      </c>
      <c r="S110" s="80">
        <v>0</v>
      </c>
      <c r="T110" s="80">
        <v>0</v>
      </c>
      <c r="U110" s="80">
        <v>0</v>
      </c>
      <c r="V110" s="80">
        <v>0</v>
      </c>
      <c r="W110" s="63"/>
      <c r="X110" s="118"/>
      <c r="Y110" s="118"/>
    </row>
    <row r="111" spans="1:25" ht="22.5" x14ac:dyDescent="0.35">
      <c r="A111" s="7" t="s">
        <v>174</v>
      </c>
      <c r="B111" s="7" t="s">
        <v>84</v>
      </c>
      <c r="C111" s="6">
        <v>0</v>
      </c>
      <c r="D111" s="63"/>
      <c r="E111" s="63"/>
      <c r="F111" s="80">
        <v>0</v>
      </c>
      <c r="G111" s="80">
        <v>0</v>
      </c>
      <c r="H111" s="80">
        <v>0</v>
      </c>
      <c r="I111" s="80">
        <v>0</v>
      </c>
      <c r="J111" s="80">
        <v>0</v>
      </c>
      <c r="K111" s="63"/>
      <c r="L111" s="118"/>
      <c r="M111" s="118"/>
      <c r="O111" s="6">
        <v>0</v>
      </c>
      <c r="P111" s="63"/>
      <c r="Q111" s="63"/>
      <c r="R111" s="80">
        <v>0</v>
      </c>
      <c r="S111" s="80">
        <v>0</v>
      </c>
      <c r="T111" s="80">
        <v>0</v>
      </c>
      <c r="U111" s="80">
        <v>0</v>
      </c>
      <c r="V111" s="80">
        <v>0</v>
      </c>
      <c r="W111" s="63"/>
      <c r="X111" s="118"/>
      <c r="Y111" s="118"/>
    </row>
    <row r="112" spans="1:25" ht="22.95" x14ac:dyDescent="0.35">
      <c r="A112" s="11"/>
      <c r="B112" s="11" t="s">
        <v>85</v>
      </c>
      <c r="C112" s="37">
        <f>SUM(C103:C111)</f>
        <v>7198657.6287571285</v>
      </c>
      <c r="D112" s="37"/>
      <c r="E112" s="37"/>
      <c r="F112" s="37"/>
      <c r="G112" s="37"/>
      <c r="H112" s="37">
        <v>0</v>
      </c>
      <c r="I112" s="37">
        <f>SUM(I103:I111)</f>
        <v>7198657.6287571257</v>
      </c>
      <c r="J112" s="37">
        <f>SUM(J103:J111)</f>
        <v>7198657.6287571257</v>
      </c>
      <c r="K112" s="37"/>
      <c r="L112" s="130"/>
      <c r="M112" s="130"/>
      <c r="O112" s="37">
        <f>SUM(O103:O111)</f>
        <v>7198657.6287571285</v>
      </c>
      <c r="P112" s="37"/>
      <c r="Q112" s="37"/>
      <c r="R112" s="37"/>
      <c r="S112" s="37"/>
      <c r="T112" s="37">
        <v>0</v>
      </c>
      <c r="U112" s="37">
        <f>SUM(U103:U111)</f>
        <v>7198657.6287571257</v>
      </c>
      <c r="V112" s="37">
        <f>SUM(V103:V111)</f>
        <v>7198657.6287571257</v>
      </c>
      <c r="W112" s="37"/>
      <c r="X112" s="130"/>
      <c r="Y112" s="130"/>
    </row>
    <row r="113" spans="1:25" s="33" customFormat="1" ht="22.5" x14ac:dyDescent="0.45">
      <c r="C113" s="36"/>
      <c r="D113" s="36"/>
      <c r="E113" s="36"/>
      <c r="F113" s="36"/>
      <c r="G113" s="36"/>
      <c r="H113" s="36"/>
      <c r="I113" s="36"/>
      <c r="J113" s="36"/>
      <c r="K113" s="36"/>
      <c r="L113" s="129"/>
      <c r="M113" s="129"/>
      <c r="O113" s="36"/>
      <c r="P113" s="36"/>
      <c r="Q113" s="36"/>
      <c r="R113" s="36"/>
      <c r="S113" s="36"/>
      <c r="T113" s="36"/>
      <c r="U113" s="36"/>
      <c r="V113" s="36"/>
      <c r="W113" s="36"/>
      <c r="X113" s="129"/>
      <c r="Y113" s="129"/>
    </row>
    <row r="114" spans="1:25" ht="22.95" x14ac:dyDescent="0.35">
      <c r="A114" s="23"/>
      <c r="B114" s="23" t="s">
        <v>86</v>
      </c>
      <c r="C114" s="40"/>
      <c r="D114" s="40"/>
      <c r="E114" s="40"/>
      <c r="F114" s="40"/>
      <c r="G114" s="40"/>
      <c r="H114" s="40"/>
      <c r="I114" s="40"/>
      <c r="J114" s="40"/>
      <c r="K114" s="40"/>
      <c r="L114" s="131"/>
      <c r="M114" s="131"/>
      <c r="O114" s="40"/>
      <c r="P114" s="40"/>
      <c r="Q114" s="40"/>
      <c r="R114" s="40"/>
      <c r="S114" s="40"/>
      <c r="T114" s="40"/>
      <c r="U114" s="40"/>
      <c r="V114" s="40"/>
      <c r="W114" s="40"/>
      <c r="X114" s="131"/>
      <c r="Y114" s="131"/>
    </row>
    <row r="115" spans="1:25" ht="22.5" x14ac:dyDescent="0.35">
      <c r="A115" s="7" t="s">
        <v>176</v>
      </c>
      <c r="B115" s="7" t="s">
        <v>88</v>
      </c>
      <c r="C115" s="6">
        <v>473651.84261813335</v>
      </c>
      <c r="D115" s="63"/>
      <c r="E115" s="63"/>
      <c r="F115" s="80">
        <v>0</v>
      </c>
      <c r="G115" s="80">
        <v>0</v>
      </c>
      <c r="H115" s="80">
        <v>0</v>
      </c>
      <c r="I115" s="47">
        <v>473651.842618133</v>
      </c>
      <c r="J115" s="47">
        <v>473651.842618133</v>
      </c>
      <c r="K115" s="63"/>
      <c r="L115" s="118"/>
      <c r="M115" s="118"/>
      <c r="O115" s="6">
        <v>473651.84261813335</v>
      </c>
      <c r="P115" s="63"/>
      <c r="Q115" s="63"/>
      <c r="R115" s="80">
        <v>0</v>
      </c>
      <c r="S115" s="80">
        <v>0</v>
      </c>
      <c r="T115" s="80">
        <v>0</v>
      </c>
      <c r="U115" s="47">
        <v>473651.842618133</v>
      </c>
      <c r="V115" s="47">
        <v>473651.842618133</v>
      </c>
      <c r="W115" s="63"/>
      <c r="X115" s="118"/>
      <c r="Y115" s="118"/>
    </row>
    <row r="116" spans="1:25" ht="22.5" x14ac:dyDescent="0.35">
      <c r="A116" s="7" t="s">
        <v>177</v>
      </c>
      <c r="B116" s="7" t="s">
        <v>89</v>
      </c>
      <c r="C116" s="6">
        <v>1087634.6595500526</v>
      </c>
      <c r="D116" s="63"/>
      <c r="E116" s="63"/>
      <c r="F116" s="80">
        <v>0</v>
      </c>
      <c r="G116" s="80">
        <v>0</v>
      </c>
      <c r="H116" s="80">
        <v>0</v>
      </c>
      <c r="I116" s="47">
        <v>1087634.65955005</v>
      </c>
      <c r="J116" s="47">
        <v>1087634.65955005</v>
      </c>
      <c r="K116" s="63"/>
      <c r="L116" s="118"/>
      <c r="M116" s="118"/>
      <c r="O116" s="6">
        <v>1087634.6595500526</v>
      </c>
      <c r="P116" s="63"/>
      <c r="Q116" s="63"/>
      <c r="R116" s="80">
        <v>0</v>
      </c>
      <c r="S116" s="80">
        <v>0</v>
      </c>
      <c r="T116" s="80">
        <v>0</v>
      </c>
      <c r="U116" s="47">
        <v>1087634.65955005</v>
      </c>
      <c r="V116" s="47">
        <v>1087634.65955005</v>
      </c>
      <c r="W116" s="63"/>
      <c r="X116" s="118"/>
      <c r="Y116" s="118"/>
    </row>
    <row r="117" spans="1:25" ht="22.95" x14ac:dyDescent="0.35">
      <c r="A117" s="23"/>
      <c r="B117" s="23" t="s">
        <v>90</v>
      </c>
      <c r="C117" s="39">
        <f>SUM(C115:C116)</f>
        <v>1561286.502168186</v>
      </c>
      <c r="D117" s="39"/>
      <c r="E117" s="39"/>
      <c r="F117" s="39"/>
      <c r="G117" s="39"/>
      <c r="H117" s="39">
        <v>0</v>
      </c>
      <c r="I117" s="39">
        <f>SUM(I115:I116)</f>
        <v>1561286.502168183</v>
      </c>
      <c r="J117" s="39">
        <f>SUM(J115:J116)</f>
        <v>1561286.502168183</v>
      </c>
      <c r="K117" s="39"/>
      <c r="L117" s="131"/>
      <c r="M117" s="131"/>
      <c r="O117" s="39">
        <f>SUM(O115:O116)</f>
        <v>1561286.502168186</v>
      </c>
      <c r="P117" s="39"/>
      <c r="Q117" s="39"/>
      <c r="R117" s="39"/>
      <c r="S117" s="39"/>
      <c r="T117" s="39">
        <v>0</v>
      </c>
      <c r="U117" s="39">
        <f>SUM(U115:U116)</f>
        <v>1561286.502168183</v>
      </c>
      <c r="V117" s="39">
        <f>SUM(V115:V116)</f>
        <v>1561286.502168183</v>
      </c>
      <c r="W117" s="39"/>
      <c r="X117" s="131"/>
      <c r="Y117" s="131"/>
    </row>
    <row r="118" spans="1:25" s="33" customFormat="1" ht="22.5" x14ac:dyDescent="0.45">
      <c r="C118" s="36"/>
      <c r="D118" s="36"/>
      <c r="E118" s="36"/>
      <c r="F118" s="36"/>
      <c r="G118" s="36"/>
      <c r="H118" s="36"/>
      <c r="I118" s="36"/>
      <c r="J118" s="36"/>
      <c r="K118" s="36"/>
      <c r="L118" s="129"/>
      <c r="M118" s="129"/>
      <c r="O118" s="36"/>
      <c r="P118" s="36"/>
      <c r="Q118" s="36"/>
      <c r="R118" s="36"/>
      <c r="S118" s="36"/>
      <c r="T118" s="36"/>
      <c r="U118" s="36"/>
      <c r="V118" s="36"/>
      <c r="W118" s="36"/>
      <c r="X118" s="129"/>
      <c r="Y118" s="129"/>
    </row>
    <row r="119" spans="1:25" ht="22.95" x14ac:dyDescent="0.35">
      <c r="A119" s="41"/>
      <c r="B119" s="41" t="s">
        <v>91</v>
      </c>
      <c r="C119" s="43"/>
      <c r="D119" s="43"/>
      <c r="E119" s="43"/>
      <c r="F119" s="43"/>
      <c r="G119" s="43"/>
      <c r="H119" s="43"/>
      <c r="I119" s="43"/>
      <c r="J119" s="43"/>
      <c r="K119" s="43"/>
      <c r="L119" s="132"/>
      <c r="M119" s="132"/>
      <c r="O119" s="43"/>
      <c r="P119" s="43"/>
      <c r="Q119" s="43"/>
      <c r="R119" s="43"/>
      <c r="S119" s="43"/>
      <c r="T119" s="43"/>
      <c r="U119" s="43"/>
      <c r="V119" s="43"/>
      <c r="W119" s="43"/>
      <c r="X119" s="132"/>
      <c r="Y119" s="132"/>
    </row>
    <row r="120" spans="1:25" ht="22.5" x14ac:dyDescent="0.35">
      <c r="A120" s="7" t="s">
        <v>178</v>
      </c>
      <c r="B120" s="7" t="s">
        <v>92</v>
      </c>
      <c r="C120" s="6">
        <v>7476486.267967687</v>
      </c>
      <c r="D120" s="63"/>
      <c r="E120" s="63"/>
      <c r="F120" s="80">
        <v>0</v>
      </c>
      <c r="G120" s="80">
        <v>0</v>
      </c>
      <c r="H120" s="80" t="s">
        <v>206</v>
      </c>
      <c r="I120" s="80" t="s">
        <v>206</v>
      </c>
      <c r="J120" s="80" t="s">
        <v>206</v>
      </c>
      <c r="K120" s="63"/>
      <c r="L120" s="118"/>
      <c r="M120" s="118"/>
      <c r="O120" s="6">
        <v>7476486.267967687</v>
      </c>
      <c r="P120" s="63"/>
      <c r="Q120" s="63"/>
      <c r="R120" s="80">
        <v>0</v>
      </c>
      <c r="S120" s="80">
        <v>0</v>
      </c>
      <c r="T120" s="80" t="s">
        <v>206</v>
      </c>
      <c r="U120" s="80" t="s">
        <v>206</v>
      </c>
      <c r="V120" s="80" t="s">
        <v>206</v>
      </c>
      <c r="W120" s="63"/>
      <c r="X120" s="118"/>
      <c r="Y120" s="118"/>
    </row>
    <row r="121" spans="1:25" ht="22.5" x14ac:dyDescent="0.35">
      <c r="A121" s="7" t="s">
        <v>179</v>
      </c>
      <c r="B121" s="7" t="s">
        <v>93</v>
      </c>
      <c r="C121" s="6">
        <v>136999.40388203855</v>
      </c>
      <c r="D121" s="63"/>
      <c r="E121" s="63"/>
      <c r="F121" s="80">
        <v>0</v>
      </c>
      <c r="G121" s="80">
        <v>0</v>
      </c>
      <c r="H121" s="80">
        <v>0</v>
      </c>
      <c r="I121" s="47">
        <v>136999.40388203901</v>
      </c>
      <c r="J121" s="47">
        <v>136999.40388203901</v>
      </c>
      <c r="K121" s="63"/>
      <c r="L121" s="118"/>
      <c r="M121" s="118"/>
      <c r="O121" s="6">
        <v>136999.40388203855</v>
      </c>
      <c r="P121" s="63"/>
      <c r="Q121" s="63"/>
      <c r="R121" s="80">
        <v>0</v>
      </c>
      <c r="S121" s="80">
        <v>0</v>
      </c>
      <c r="T121" s="80">
        <v>0</v>
      </c>
      <c r="U121" s="47">
        <v>136999.40388203901</v>
      </c>
      <c r="V121" s="47">
        <v>136999.40388203901</v>
      </c>
      <c r="W121" s="63"/>
      <c r="X121" s="118"/>
      <c r="Y121" s="118"/>
    </row>
    <row r="122" spans="1:25" ht="22.5" x14ac:dyDescent="0.35">
      <c r="A122" s="7" t="s">
        <v>161</v>
      </c>
      <c r="B122" s="7" t="s">
        <v>94</v>
      </c>
      <c r="C122" s="6">
        <v>4461304.4000000004</v>
      </c>
      <c r="D122" s="63"/>
      <c r="E122" s="63"/>
      <c r="F122" s="80">
        <v>0</v>
      </c>
      <c r="G122" s="80">
        <v>0</v>
      </c>
      <c r="H122" s="80">
        <v>0</v>
      </c>
      <c r="I122" s="47">
        <v>4377972</v>
      </c>
      <c r="J122" s="47">
        <v>4377972</v>
      </c>
      <c r="K122" s="63"/>
      <c r="L122" s="118"/>
      <c r="M122" s="118"/>
      <c r="O122" s="6">
        <v>4461304.4000000004</v>
      </c>
      <c r="P122" s="63"/>
      <c r="Q122" s="63"/>
      <c r="R122" s="80">
        <v>0</v>
      </c>
      <c r="S122" s="80">
        <v>0</v>
      </c>
      <c r="T122" s="80">
        <v>0</v>
      </c>
      <c r="U122" s="47">
        <v>4377972</v>
      </c>
      <c r="V122" s="47">
        <v>4377972</v>
      </c>
      <c r="W122" s="63"/>
      <c r="X122" s="118"/>
      <c r="Y122" s="118"/>
    </row>
    <row r="123" spans="1:25" ht="22.5" x14ac:dyDescent="0.35">
      <c r="A123" s="7" t="s">
        <v>162</v>
      </c>
      <c r="B123" s="7" t="s">
        <v>95</v>
      </c>
      <c r="C123" s="6">
        <v>6691956.5999999996</v>
      </c>
      <c r="D123" s="63"/>
      <c r="E123" s="63"/>
      <c r="F123" s="80">
        <v>0</v>
      </c>
      <c r="G123" s="80">
        <v>0</v>
      </c>
      <c r="H123" s="80">
        <v>0</v>
      </c>
      <c r="I123" s="47">
        <v>6566959</v>
      </c>
      <c r="J123" s="47">
        <v>6566959</v>
      </c>
      <c r="K123" s="63"/>
      <c r="L123" s="118"/>
      <c r="M123" s="118"/>
      <c r="O123" s="6">
        <v>6691956.5999999996</v>
      </c>
      <c r="P123" s="63"/>
      <c r="Q123" s="63"/>
      <c r="R123" s="80">
        <v>0</v>
      </c>
      <c r="S123" s="80">
        <v>0</v>
      </c>
      <c r="T123" s="80">
        <v>0</v>
      </c>
      <c r="U123" s="47">
        <v>6566959</v>
      </c>
      <c r="V123" s="47">
        <v>6566959</v>
      </c>
      <c r="W123" s="63"/>
      <c r="X123" s="118"/>
      <c r="Y123" s="118"/>
    </row>
    <row r="124" spans="1:25" ht="22.5" x14ac:dyDescent="0.35">
      <c r="A124" s="7" t="s">
        <v>195</v>
      </c>
      <c r="B124" s="7" t="s">
        <v>96</v>
      </c>
      <c r="C124" s="6">
        <v>17314000</v>
      </c>
      <c r="D124" s="63"/>
      <c r="E124" s="63"/>
      <c r="F124" s="80">
        <v>0</v>
      </c>
      <c r="G124" s="80">
        <v>0</v>
      </c>
      <c r="H124" s="80" t="s">
        <v>207</v>
      </c>
      <c r="I124" s="80" t="s">
        <v>207</v>
      </c>
      <c r="J124" s="80" t="s">
        <v>207</v>
      </c>
      <c r="K124" s="63"/>
      <c r="L124" s="118"/>
      <c r="M124" s="118"/>
      <c r="O124" s="6">
        <v>17314000</v>
      </c>
      <c r="P124" s="63"/>
      <c r="Q124" s="63"/>
      <c r="R124" s="80">
        <v>0</v>
      </c>
      <c r="S124" s="80">
        <v>0</v>
      </c>
      <c r="T124" s="80" t="s">
        <v>207</v>
      </c>
      <c r="U124" s="80" t="s">
        <v>207</v>
      </c>
      <c r="V124" s="80" t="s">
        <v>207</v>
      </c>
      <c r="W124" s="63"/>
      <c r="X124" s="118"/>
      <c r="Y124" s="118"/>
    </row>
    <row r="125" spans="1:25" ht="22.95" x14ac:dyDescent="0.35">
      <c r="A125" s="41"/>
      <c r="B125" s="41" t="s">
        <v>97</v>
      </c>
      <c r="C125" s="42">
        <f>SUM(C120:C124)</f>
        <v>36080746.671849728</v>
      </c>
      <c r="D125" s="42"/>
      <c r="E125" s="42"/>
      <c r="F125" s="42"/>
      <c r="G125" s="42"/>
      <c r="H125" s="42">
        <v>0</v>
      </c>
      <c r="I125" s="42">
        <f>SUM(I120:I124)</f>
        <v>11081930.403882038</v>
      </c>
      <c r="J125" s="42">
        <f>SUM(J120:J124)</f>
        <v>11081930.403882038</v>
      </c>
      <c r="K125" s="42"/>
      <c r="L125" s="132"/>
      <c r="M125" s="132"/>
      <c r="O125" s="42">
        <f>SUM(O120:O124)</f>
        <v>36080746.671849728</v>
      </c>
      <c r="P125" s="42"/>
      <c r="Q125" s="42"/>
      <c r="R125" s="42"/>
      <c r="S125" s="42"/>
      <c r="T125" s="42">
        <v>0</v>
      </c>
      <c r="U125" s="42">
        <f>SUM(U120:U124)</f>
        <v>11081930.403882038</v>
      </c>
      <c r="V125" s="42">
        <f>SUM(V120:V124)</f>
        <v>11081930.403882038</v>
      </c>
      <c r="W125" s="42"/>
      <c r="X125" s="132"/>
      <c r="Y125" s="132"/>
    </row>
    <row r="126" spans="1:25" s="33" customFormat="1" ht="22.5" x14ac:dyDescent="0.45">
      <c r="C126" s="36"/>
      <c r="D126" s="36"/>
      <c r="E126" s="36"/>
      <c r="F126" s="36"/>
      <c r="G126" s="36"/>
      <c r="H126" s="36"/>
      <c r="I126" s="36"/>
      <c r="J126" s="36"/>
      <c r="K126" s="36"/>
      <c r="L126" s="129"/>
      <c r="M126" s="129"/>
      <c r="O126" s="36"/>
      <c r="P126" s="36"/>
      <c r="Q126" s="36"/>
      <c r="R126" s="36"/>
      <c r="S126" s="36"/>
      <c r="T126" s="36"/>
      <c r="U126" s="36"/>
      <c r="V126" s="36"/>
      <c r="W126" s="36"/>
      <c r="X126" s="129"/>
      <c r="Y126" s="129"/>
    </row>
    <row r="127" spans="1:25" ht="26.55" x14ac:dyDescent="0.35">
      <c r="A127" s="44"/>
      <c r="B127" s="44" t="s">
        <v>100</v>
      </c>
      <c r="C127" s="45">
        <f>C125+C117+C112+C100+C93</f>
        <v>278831541.16902226</v>
      </c>
      <c r="D127" s="70">
        <f>D93</f>
        <v>1400042666.7681656</v>
      </c>
      <c r="E127" s="70">
        <f>E93</f>
        <v>279649.53434907761</v>
      </c>
      <c r="F127" s="95">
        <f>H127/I127</f>
        <v>1.069451883914577</v>
      </c>
      <c r="G127" s="95">
        <f>H127/J127</f>
        <v>1.424639633984546</v>
      </c>
      <c r="H127" s="98">
        <f>H125+H117+H112+H100+H93</f>
        <v>395655782.73414785</v>
      </c>
      <c r="I127" s="98">
        <f>I125+I117+I112+I100+I93+22500000+17600000</f>
        <v>369961275.19632387</v>
      </c>
      <c r="J127" s="98">
        <f>J125+J117+J112+J100+J93+22500000+17600000</f>
        <v>277723413.90471226</v>
      </c>
      <c r="K127" s="70">
        <f>K93</f>
        <v>7523.9071706164177</v>
      </c>
      <c r="L127" s="117">
        <f>C127/D127</f>
        <v>0.19915931691758523</v>
      </c>
      <c r="M127" s="95">
        <f>C127/E127</f>
        <v>997.07493458925524</v>
      </c>
      <c r="O127" s="45">
        <f>O125+O117+O112+O100+O93</f>
        <v>237721475.98949876</v>
      </c>
      <c r="P127" s="70">
        <f>P93</f>
        <v>918859766.76049376</v>
      </c>
      <c r="Q127" s="70">
        <f>Q93</f>
        <v>224541.42869278719</v>
      </c>
      <c r="R127" s="95">
        <f>T127/U127</f>
        <v>0.63668952336491969</v>
      </c>
      <c r="S127" s="95">
        <f>T127/V127</f>
        <v>0.8470617668996715</v>
      </c>
      <c r="T127" s="98">
        <f>T125+T117+T112+T100+T93</f>
        <v>202967415.426853</v>
      </c>
      <c r="U127" s="98">
        <f>U125+U117+U112+U100+U93+22500000+17600000</f>
        <v>318785542.99773186</v>
      </c>
      <c r="V127" s="98">
        <f>V125+V117+V112+V100+V93+22500000+17600000</f>
        <v>239613477.26711062</v>
      </c>
      <c r="W127" s="70">
        <f>W93</f>
        <v>7523.9071706164177</v>
      </c>
      <c r="X127" s="117">
        <f>O127/P127</f>
        <v>0.25871355411240055</v>
      </c>
      <c r="Y127" s="95">
        <f>O127/Q127</f>
        <v>1058.6976192920918</v>
      </c>
    </row>
    <row r="128" spans="1:25" ht="22.95" x14ac:dyDescent="0.35">
      <c r="A128" s="71"/>
      <c r="B128" s="71" t="s">
        <v>194</v>
      </c>
      <c r="C128" s="72">
        <v>278831541.16902226</v>
      </c>
      <c r="D128" s="73">
        <v>1216000000</v>
      </c>
      <c r="E128" s="73">
        <v>231000</v>
      </c>
      <c r="F128" s="74"/>
      <c r="G128" s="74"/>
      <c r="H128" s="74"/>
      <c r="I128" s="74"/>
      <c r="J128" s="74"/>
      <c r="K128" s="73"/>
      <c r="L128" s="133"/>
      <c r="M128" s="133"/>
      <c r="O128" s="72">
        <v>278831541.16902226</v>
      </c>
      <c r="P128" s="73">
        <v>949000000</v>
      </c>
      <c r="Q128" s="73">
        <v>206000</v>
      </c>
      <c r="R128" s="74"/>
      <c r="S128" s="74"/>
      <c r="T128" s="74"/>
      <c r="U128" s="74"/>
      <c r="V128" s="74"/>
      <c r="W128" s="73"/>
      <c r="X128" s="133"/>
      <c r="Y128" s="133"/>
    </row>
    <row r="129" spans="1:25" ht="22.95" x14ac:dyDescent="0.35">
      <c r="A129" s="75"/>
      <c r="B129" s="75" t="s">
        <v>190</v>
      </c>
      <c r="C129" s="76">
        <f>C127-C128</f>
        <v>0</v>
      </c>
      <c r="D129" s="77">
        <f>D127-D128</f>
        <v>184042666.76816559</v>
      </c>
      <c r="E129" s="77">
        <f>E127-E128</f>
        <v>48649.534349077614</v>
      </c>
      <c r="F129" s="78"/>
      <c r="G129" s="78"/>
      <c r="H129" s="78"/>
      <c r="I129" s="78"/>
      <c r="J129" s="78"/>
      <c r="K129" s="77"/>
      <c r="L129" s="134"/>
      <c r="M129" s="134"/>
      <c r="O129" s="76">
        <f>O127-O128</f>
        <v>-41110065.179523498</v>
      </c>
      <c r="P129" s="77">
        <f>P127-P128</f>
        <v>-30140233.239506245</v>
      </c>
      <c r="Q129" s="77">
        <f>Q127-Q128</f>
        <v>18541.428692787187</v>
      </c>
      <c r="R129" s="78"/>
      <c r="S129" s="78"/>
      <c r="T129" s="78"/>
      <c r="U129" s="78"/>
      <c r="V129" s="78"/>
      <c r="W129" s="77"/>
      <c r="X129" s="134"/>
      <c r="Y129" s="134"/>
    </row>
    <row r="130" spans="1:25" ht="21" x14ac:dyDescent="0.5">
      <c r="B130" s="46" t="s">
        <v>191</v>
      </c>
      <c r="H130" s="79"/>
      <c r="I130" s="79"/>
      <c r="J130" s="79"/>
      <c r="T130" s="79"/>
      <c r="U130" s="79"/>
      <c r="V130" s="79"/>
    </row>
    <row r="131" spans="1:25" ht="28.5" x14ac:dyDescent="0.65">
      <c r="B131" s="46" t="s">
        <v>185</v>
      </c>
      <c r="H131" s="79"/>
      <c r="I131" s="142"/>
      <c r="T131" s="79"/>
      <c r="U131" s="142"/>
    </row>
    <row r="132" spans="1:25" ht="21" x14ac:dyDescent="0.5">
      <c r="B132" s="46" t="s">
        <v>196</v>
      </c>
    </row>
    <row r="133" spans="1:25" ht="21" x14ac:dyDescent="0.5">
      <c r="B133" s="46" t="s">
        <v>205</v>
      </c>
    </row>
    <row r="134" spans="1:25" ht="22.5" x14ac:dyDescent="0.45">
      <c r="C134" s="136"/>
      <c r="D134" s="136"/>
      <c r="O134" s="136"/>
      <c r="P134" s="136"/>
    </row>
    <row r="135" spans="1:25" ht="22.5" x14ac:dyDescent="0.45">
      <c r="D135" s="136"/>
      <c r="P135" s="136"/>
    </row>
  </sheetData>
  <autoFilter ref="A5:Y5"/>
  <mergeCells count="15">
    <mergeCell ref="P57:Q57"/>
    <mergeCell ref="D57:E57"/>
    <mergeCell ref="A1:M3"/>
    <mergeCell ref="C4:K4"/>
    <mergeCell ref="D6:E6"/>
    <mergeCell ref="D19:E19"/>
    <mergeCell ref="D23:E23"/>
    <mergeCell ref="D34:E34"/>
    <mergeCell ref="O4:W4"/>
    <mergeCell ref="P6:Q6"/>
    <mergeCell ref="P19:Q19"/>
    <mergeCell ref="P23:Q23"/>
    <mergeCell ref="P34:Q34"/>
    <mergeCell ref="B4:B5"/>
    <mergeCell ref="A4:A5"/>
  </mergeCells>
  <pageMargins left="0.7" right="0.7" top="0.75" bottom="0.75" header="0.3" footer="0.3"/>
  <pageSetup paperSize="17" scale="28" fitToHeight="2" orientation="landscape" r:id="rId1"/>
  <headerFooter>
    <oddFooter>&amp;R&amp;P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145"/>
  <sheetViews>
    <sheetView showGridLines="0" zoomScale="70" zoomScaleNormal="70" workbookViewId="0">
      <pane xSplit="3" ySplit="6" topLeftCell="D16" activePane="bottomRight" state="frozen"/>
      <selection pane="topRight" activeCell="D1" sqref="D1"/>
      <selection pane="bottomLeft" activeCell="A7" sqref="A7"/>
      <selection pane="bottomRight" activeCell="AH18" sqref="AH18"/>
    </sheetView>
  </sheetViews>
  <sheetFormatPr defaultColWidth="12" defaultRowHeight="13.2" x14ac:dyDescent="0.25"/>
  <cols>
    <col min="1" max="1" width="12" style="487"/>
    <col min="2" max="2" width="21.77734375" style="487" customWidth="1"/>
    <col min="3" max="3" width="57.109375" style="487" customWidth="1"/>
    <col min="4" max="6" width="17.21875" style="487" customWidth="1"/>
    <col min="7" max="7" width="17.21875" style="736" customWidth="1"/>
    <col min="8" max="10" width="17.21875" style="487" customWidth="1"/>
    <col min="11" max="11" width="17.21875" style="578" customWidth="1"/>
    <col min="12" max="12" width="17.21875" style="740" customWidth="1"/>
    <col min="13" max="14" width="17.21875" style="487" customWidth="1"/>
    <col min="15" max="16" width="17.21875" style="578" customWidth="1"/>
    <col min="17" max="17" width="17.21875" style="740" customWidth="1"/>
    <col min="18" max="19" width="17.21875" style="487" customWidth="1"/>
    <col min="20" max="21" width="17.21875" style="578" customWidth="1"/>
    <col min="22" max="22" width="17.21875" style="740" customWidth="1"/>
    <col min="23" max="26" width="17.21875" style="487" customWidth="1"/>
    <col min="27" max="27" width="17.21875" style="736" customWidth="1"/>
    <col min="28" max="32" width="17.21875" style="487" customWidth="1"/>
    <col min="33" max="33" width="17.21875" style="736" customWidth="1"/>
    <col min="34" max="34" width="17.21875" style="578" customWidth="1"/>
    <col min="35" max="38" width="17.5546875" style="487" customWidth="1"/>
    <col min="39" max="39" width="41" style="487" customWidth="1"/>
    <col min="40" max="16384" width="12" style="487"/>
  </cols>
  <sheetData>
    <row r="1" spans="2:39" ht="13.05" x14ac:dyDescent="0.3">
      <c r="B1" s="485" t="s">
        <v>394</v>
      </c>
      <c r="C1" s="486"/>
      <c r="D1" s="755"/>
      <c r="E1" s="755"/>
      <c r="F1" s="755"/>
      <c r="G1" s="755"/>
      <c r="H1" s="755"/>
      <c r="I1" s="755"/>
      <c r="J1" s="755"/>
      <c r="K1" s="755"/>
      <c r="L1" s="755"/>
      <c r="M1" s="755"/>
      <c r="N1" s="755"/>
      <c r="O1" s="755"/>
      <c r="P1" s="755"/>
      <c r="Q1" s="755"/>
      <c r="R1" s="755"/>
      <c r="S1" s="755"/>
      <c r="T1" s="755"/>
      <c r="U1" s="755"/>
      <c r="V1" s="755"/>
      <c r="W1" s="755"/>
      <c r="X1" s="755"/>
      <c r="Y1" s="755"/>
      <c r="Z1" s="755"/>
      <c r="AA1" s="755"/>
      <c r="AB1" s="755"/>
      <c r="AC1" s="755"/>
      <c r="AD1" s="755"/>
      <c r="AE1" s="755"/>
      <c r="AF1" s="755"/>
      <c r="AG1" s="755"/>
      <c r="AH1" s="756"/>
      <c r="AI1" s="757"/>
      <c r="AJ1" s="757"/>
      <c r="AK1" s="757"/>
      <c r="AL1" s="757"/>
      <c r="AM1" s="758"/>
    </row>
    <row r="2" spans="2:39" ht="13.05" x14ac:dyDescent="0.3">
      <c r="B2" s="485" t="s">
        <v>395</v>
      </c>
      <c r="C2" s="486"/>
      <c r="D2" s="759"/>
      <c r="E2" s="755"/>
      <c r="F2" s="755"/>
      <c r="G2" s="755"/>
      <c r="H2" s="755"/>
      <c r="I2" s="755"/>
      <c r="J2" s="755"/>
      <c r="K2" s="755"/>
      <c r="L2" s="755"/>
      <c r="M2" s="755"/>
      <c r="N2" s="755"/>
      <c r="O2" s="755"/>
      <c r="P2" s="755"/>
      <c r="Q2" s="755"/>
      <c r="R2" s="755"/>
      <c r="S2" s="755"/>
      <c r="T2" s="755"/>
      <c r="U2" s="755"/>
      <c r="V2" s="755"/>
      <c r="W2" s="755"/>
      <c r="X2" s="755"/>
      <c r="Y2" s="755"/>
      <c r="Z2" s="755"/>
      <c r="AA2" s="755"/>
      <c r="AB2" s="755"/>
      <c r="AC2" s="755"/>
      <c r="AD2" s="755"/>
      <c r="AE2" s="755"/>
      <c r="AF2" s="755"/>
      <c r="AG2" s="755"/>
      <c r="AH2" s="756"/>
      <c r="AI2" s="757"/>
      <c r="AJ2" s="757"/>
      <c r="AK2" s="757"/>
      <c r="AL2" s="757"/>
      <c r="AM2" s="758"/>
    </row>
    <row r="3" spans="2:39" ht="13.05" x14ac:dyDescent="0.3">
      <c r="B3" s="485"/>
      <c r="C3" s="486"/>
      <c r="D3" s="760"/>
      <c r="E3" s="755"/>
      <c r="F3" s="755"/>
      <c r="G3" s="755"/>
      <c r="H3" s="755"/>
      <c r="I3" s="755"/>
      <c r="J3" s="755"/>
      <c r="K3" s="755"/>
      <c r="L3" s="755"/>
      <c r="M3" s="755"/>
      <c r="N3" s="755"/>
      <c r="O3" s="755"/>
      <c r="P3" s="755"/>
      <c r="Q3" s="755"/>
      <c r="R3" s="755"/>
      <c r="S3" s="755"/>
      <c r="T3" s="755"/>
      <c r="U3" s="755"/>
      <c r="V3" s="755"/>
      <c r="W3" s="755"/>
      <c r="X3" s="755"/>
      <c r="Y3" s="755"/>
      <c r="Z3" s="755"/>
      <c r="AA3" s="755"/>
      <c r="AB3" s="755"/>
      <c r="AC3" s="755"/>
      <c r="AD3" s="755"/>
      <c r="AE3" s="755"/>
      <c r="AF3" s="755"/>
      <c r="AG3" s="755"/>
      <c r="AH3" s="756"/>
      <c r="AI3" s="757"/>
      <c r="AJ3" s="757"/>
      <c r="AK3" s="757"/>
      <c r="AL3" s="757"/>
      <c r="AM3" s="758"/>
    </row>
    <row r="4" spans="2:39" ht="13.8" thickBot="1" x14ac:dyDescent="0.3">
      <c r="B4" s="488" t="s">
        <v>396</v>
      </c>
      <c r="C4" s="489"/>
      <c r="D4" s="885"/>
      <c r="E4" s="886"/>
      <c r="F4" s="886"/>
      <c r="G4" s="886"/>
      <c r="H4" s="886"/>
      <c r="I4" s="886"/>
      <c r="J4" s="886"/>
      <c r="K4" s="886"/>
      <c r="L4" s="886"/>
      <c r="M4" s="886"/>
      <c r="N4" s="886"/>
      <c r="O4" s="886"/>
      <c r="P4" s="886"/>
      <c r="Q4" s="886"/>
      <c r="R4" s="886"/>
      <c r="S4" s="886"/>
      <c r="T4" s="755"/>
      <c r="U4" s="755"/>
      <c r="V4" s="755"/>
      <c r="W4" s="755"/>
      <c r="X4" s="755"/>
      <c r="Y4" s="755"/>
      <c r="Z4" s="755"/>
      <c r="AA4" s="755"/>
      <c r="AB4" s="755"/>
      <c r="AC4" s="755"/>
      <c r="AD4" s="755"/>
      <c r="AE4" s="755"/>
      <c r="AF4" s="755"/>
      <c r="AG4" s="755"/>
      <c r="AH4" s="756"/>
      <c r="AI4" s="757"/>
      <c r="AJ4" s="757"/>
      <c r="AK4" s="757"/>
      <c r="AL4" s="757"/>
      <c r="AM4" s="758"/>
    </row>
    <row r="5" spans="2:39" ht="13.5" thickBot="1" x14ac:dyDescent="0.35">
      <c r="B5" s="490"/>
      <c r="C5" s="489"/>
      <c r="D5" s="880" t="s">
        <v>397</v>
      </c>
      <c r="E5" s="881"/>
      <c r="F5" s="881"/>
      <c r="G5" s="882"/>
      <c r="H5" s="883"/>
      <c r="I5" s="880" t="s">
        <v>398</v>
      </c>
      <c r="J5" s="881"/>
      <c r="K5" s="881"/>
      <c r="L5" s="882"/>
      <c r="M5" s="883"/>
      <c r="N5" s="887" t="s">
        <v>399</v>
      </c>
      <c r="O5" s="888"/>
      <c r="P5" s="888"/>
      <c r="Q5" s="889"/>
      <c r="R5" s="890"/>
      <c r="S5" s="880" t="s">
        <v>400</v>
      </c>
      <c r="T5" s="881"/>
      <c r="U5" s="881"/>
      <c r="V5" s="882"/>
      <c r="W5" s="883"/>
      <c r="X5" s="880" t="s">
        <v>401</v>
      </c>
      <c r="Y5" s="881"/>
      <c r="Z5" s="881"/>
      <c r="AA5" s="882"/>
      <c r="AB5" s="883"/>
      <c r="AC5" s="880" t="s">
        <v>237</v>
      </c>
      <c r="AD5" s="881"/>
      <c r="AE5" s="881"/>
      <c r="AF5" s="881"/>
      <c r="AG5" s="882"/>
      <c r="AH5" s="883"/>
      <c r="AI5" s="884"/>
      <c r="AJ5" s="884"/>
      <c r="AK5" s="884"/>
      <c r="AL5" s="884"/>
      <c r="AM5" s="884"/>
    </row>
    <row r="6" spans="2:39" ht="39.450000000000003" thickBot="1" x14ac:dyDescent="0.3">
      <c r="B6" s="491" t="s">
        <v>402</v>
      </c>
      <c r="C6" s="492" t="s">
        <v>403</v>
      </c>
      <c r="D6" s="493" t="s">
        <v>404</v>
      </c>
      <c r="E6" s="826" t="s">
        <v>405</v>
      </c>
      <c r="F6" s="494" t="s">
        <v>406</v>
      </c>
      <c r="G6" s="841" t="s">
        <v>634</v>
      </c>
      <c r="H6" s="495" t="s">
        <v>407</v>
      </c>
      <c r="I6" s="493" t="s">
        <v>404</v>
      </c>
      <c r="J6" s="494" t="s">
        <v>405</v>
      </c>
      <c r="K6" s="494" t="s">
        <v>406</v>
      </c>
      <c r="L6" s="731" t="s">
        <v>634</v>
      </c>
      <c r="M6" s="495" t="s">
        <v>407</v>
      </c>
      <c r="N6" s="493" t="s">
        <v>404</v>
      </c>
      <c r="O6" s="494" t="s">
        <v>405</v>
      </c>
      <c r="P6" s="494" t="s">
        <v>406</v>
      </c>
      <c r="Q6" s="731" t="s">
        <v>634</v>
      </c>
      <c r="R6" s="495" t="s">
        <v>407</v>
      </c>
      <c r="S6" s="493" t="s">
        <v>404</v>
      </c>
      <c r="T6" s="494" t="s">
        <v>405</v>
      </c>
      <c r="U6" s="494" t="s">
        <v>406</v>
      </c>
      <c r="V6" s="731" t="s">
        <v>634</v>
      </c>
      <c r="W6" s="495" t="s">
        <v>407</v>
      </c>
      <c r="X6" s="493" t="s">
        <v>404</v>
      </c>
      <c r="Y6" s="494" t="s">
        <v>405</v>
      </c>
      <c r="Z6" s="494" t="s">
        <v>406</v>
      </c>
      <c r="AA6" s="731" t="s">
        <v>634</v>
      </c>
      <c r="AB6" s="495" t="s">
        <v>407</v>
      </c>
      <c r="AC6" s="493" t="s">
        <v>404</v>
      </c>
      <c r="AD6" s="494" t="s">
        <v>408</v>
      </c>
      <c r="AE6" s="494" t="s">
        <v>405</v>
      </c>
      <c r="AF6" s="494" t="s">
        <v>406</v>
      </c>
      <c r="AG6" s="731" t="s">
        <v>634</v>
      </c>
      <c r="AH6" s="495" t="s">
        <v>407</v>
      </c>
      <c r="AI6" s="496" t="s">
        <v>409</v>
      </c>
      <c r="AJ6" s="497" t="s">
        <v>410</v>
      </c>
      <c r="AK6" s="497" t="s">
        <v>411</v>
      </c>
      <c r="AL6" s="497" t="s">
        <v>412</v>
      </c>
      <c r="AM6" s="498" t="s">
        <v>413</v>
      </c>
    </row>
    <row r="7" spans="2:39" ht="13.5" customHeight="1" x14ac:dyDescent="0.3">
      <c r="B7" s="499" t="s">
        <v>414</v>
      </c>
      <c r="C7" s="500" t="s">
        <v>415</v>
      </c>
      <c r="D7" s="501">
        <f t="shared" ref="D7" si="0">SUM(D8:D14)</f>
        <v>2448571.7400000002</v>
      </c>
      <c r="E7" s="827">
        <f t="shared" ref="E7" si="1">SUM(E8:E14)</f>
        <v>2097102</v>
      </c>
      <c r="F7" s="501">
        <f t="shared" ref="F7" si="2">SUM(F8:F14)</f>
        <v>2448571.7400000002</v>
      </c>
      <c r="G7" s="827">
        <f t="shared" ref="G7" si="3">SUM(G8:G14)</f>
        <v>2199964</v>
      </c>
      <c r="H7" s="501">
        <f t="shared" ref="H7" si="4">SUM(H8:H14)</f>
        <v>2266659</v>
      </c>
      <c r="I7" s="501">
        <f t="shared" ref="I7" si="5">SUM(I8:I14)</f>
        <v>3673558.33</v>
      </c>
      <c r="J7" s="501">
        <f t="shared" ref="J7" si="6">SUM(J8:J14)</f>
        <v>2914130</v>
      </c>
      <c r="K7" s="501">
        <f t="shared" ref="K7" si="7">SUM(K8:K14)</f>
        <v>3673558.33</v>
      </c>
      <c r="L7" s="501">
        <f t="shared" ref="L7" si="8">SUM(L8:L14)</f>
        <v>1845242</v>
      </c>
      <c r="M7" s="501">
        <f t="shared" ref="M7" si="9">SUM(M8:M14)</f>
        <v>1968617</v>
      </c>
      <c r="N7" s="501">
        <f t="shared" ref="N7" si="10">SUM(N8:N14)</f>
        <v>13341789</v>
      </c>
      <c r="O7" s="501">
        <f t="shared" ref="O7" si="11">SUM(O8:O14)</f>
        <v>15782438</v>
      </c>
      <c r="P7" s="501">
        <f t="shared" ref="P7" si="12">SUM(P8:P14)</f>
        <v>13341789</v>
      </c>
      <c r="Q7" s="501">
        <f t="shared" ref="Q7" si="13">SUM(Q8:Q14)</f>
        <v>16472516</v>
      </c>
      <c r="R7" s="501">
        <f t="shared" ref="R7" si="14">SUM(R8:R14)</f>
        <v>13872095</v>
      </c>
      <c r="S7" s="501">
        <f t="shared" ref="S7" si="15">SUM(S8:S14)</f>
        <v>31063981.219999999</v>
      </c>
      <c r="T7" s="501">
        <f t="shared" ref="T7" si="16">SUM(T8:T14)</f>
        <v>32422020</v>
      </c>
      <c r="U7" s="501">
        <f t="shared" ref="U7" si="17">SUM(U8:U14)</f>
        <v>31063981.219999999</v>
      </c>
      <c r="V7" s="501">
        <f t="shared" ref="V7" si="18">SUM(V8:V14)</f>
        <v>20524550</v>
      </c>
      <c r="W7" s="501">
        <f t="shared" ref="W7" si="19">SUM(W8:W14)</f>
        <v>19215876</v>
      </c>
      <c r="X7" s="501">
        <f t="shared" ref="X7" si="20">SUM(X8:X14)</f>
        <v>44405770.219999999</v>
      </c>
      <c r="Y7" s="501">
        <f t="shared" ref="Y7" si="21">SUM(Y8:Y14)</f>
        <v>48204458</v>
      </c>
      <c r="Z7" s="501">
        <f t="shared" ref="Z7" si="22">SUM(Z8:Z14)</f>
        <v>44405770.219999999</v>
      </c>
      <c r="AA7" s="501">
        <f t="shared" ref="AA7" si="23">SUM(AA8:AA14)</f>
        <v>36997066</v>
      </c>
      <c r="AB7" s="501">
        <f t="shared" ref="AB7" si="24">SUM(AB8:AB14)</f>
        <v>33087971</v>
      </c>
      <c r="AC7" s="501">
        <f t="shared" ref="AC7" si="25">SUM(AC8:AC14)</f>
        <v>50527900.289999999</v>
      </c>
      <c r="AD7" s="501">
        <f t="shared" ref="AD7" si="26">SUM(AD8:AD14)</f>
        <v>49527900.289999999</v>
      </c>
      <c r="AE7" s="501">
        <f t="shared" ref="AE7" si="27">SUM(AE8:AE14)</f>
        <v>53215690</v>
      </c>
      <c r="AF7" s="501">
        <f t="shared" ref="AF7" si="28">SUM(AF8:AF14)</f>
        <v>50527900.289999999</v>
      </c>
      <c r="AG7" s="501">
        <f t="shared" ref="AG7" si="29">SUM(AG8:AG14)</f>
        <v>41042272</v>
      </c>
      <c r="AH7" s="501">
        <f t="shared" ref="AH7" si="30">SUM(AH8:AH14)</f>
        <v>37323247</v>
      </c>
      <c r="AI7" s="504" t="s">
        <v>416</v>
      </c>
      <c r="AJ7" s="505" t="s">
        <v>243</v>
      </c>
      <c r="AK7" s="506"/>
      <c r="AL7" s="506"/>
      <c r="AM7" s="507" t="s">
        <v>417</v>
      </c>
    </row>
    <row r="8" spans="2:39" ht="13.5" customHeight="1" x14ac:dyDescent="0.25">
      <c r="B8" s="716" t="s">
        <v>418</v>
      </c>
      <c r="C8" s="509" t="s">
        <v>1</v>
      </c>
      <c r="D8" s="510">
        <v>468975.74</v>
      </c>
      <c r="E8" s="828">
        <v>758108</v>
      </c>
      <c r="F8" s="512">
        <v>468975.74</v>
      </c>
      <c r="G8" s="842">
        <v>195291</v>
      </c>
      <c r="H8" s="513">
        <v>507345</v>
      </c>
      <c r="I8" s="510">
        <v>524426.32999999996</v>
      </c>
      <c r="J8" s="511">
        <v>426139</v>
      </c>
      <c r="K8" s="512">
        <v>524426.32999999996</v>
      </c>
      <c r="L8" s="512">
        <v>426796</v>
      </c>
      <c r="M8" s="513">
        <v>898478</v>
      </c>
      <c r="N8" s="510">
        <v>3097398</v>
      </c>
      <c r="O8" s="511">
        <v>6164348</v>
      </c>
      <c r="P8" s="512">
        <v>3097398</v>
      </c>
      <c r="Q8" s="512">
        <v>5700760</v>
      </c>
      <c r="R8" s="513">
        <v>8260324</v>
      </c>
      <c r="S8" s="510">
        <v>0</v>
      </c>
      <c r="T8" s="511">
        <v>0</v>
      </c>
      <c r="U8" s="512">
        <v>0</v>
      </c>
      <c r="V8" s="512">
        <v>0</v>
      </c>
      <c r="W8" s="513">
        <v>1000000</v>
      </c>
      <c r="X8" s="510">
        <f>+N8+S8</f>
        <v>3097398</v>
      </c>
      <c r="Y8" s="512">
        <f>+O8+T8</f>
        <v>6164348</v>
      </c>
      <c r="Z8" s="512">
        <f>+P8+U8</f>
        <v>3097398</v>
      </c>
      <c r="AA8" s="512">
        <f>+Q8+V8</f>
        <v>5700760</v>
      </c>
      <c r="AB8" s="513">
        <f t="shared" ref="AB8:AB14" si="31">+R8+W8</f>
        <v>9260324</v>
      </c>
      <c r="AC8" s="510">
        <f>+D8+I8+X8</f>
        <v>4090800.07</v>
      </c>
      <c r="AD8" s="512">
        <v>7690800.0700000003</v>
      </c>
      <c r="AE8" s="512">
        <f t="shared" ref="AE8:AG13" si="32">+E8+J8+Y8</f>
        <v>7348595</v>
      </c>
      <c r="AF8" s="512">
        <f t="shared" si="32"/>
        <v>4090800.07</v>
      </c>
      <c r="AG8" s="512">
        <f t="shared" si="32"/>
        <v>6322847</v>
      </c>
      <c r="AH8" s="513">
        <f>+H8+M8+AB8</f>
        <v>10666147</v>
      </c>
      <c r="AI8" s="514" t="s">
        <v>416</v>
      </c>
      <c r="AJ8" s="515" t="s">
        <v>243</v>
      </c>
      <c r="AK8" s="515" t="s">
        <v>419</v>
      </c>
      <c r="AL8" s="515" t="s">
        <v>420</v>
      </c>
      <c r="AM8" s="516" t="s">
        <v>421</v>
      </c>
    </row>
    <row r="9" spans="2:39" ht="13.5" customHeight="1" x14ac:dyDescent="0.25">
      <c r="B9" s="716" t="s">
        <v>422</v>
      </c>
      <c r="C9" s="509" t="s">
        <v>3</v>
      </c>
      <c r="D9" s="510">
        <v>530637</v>
      </c>
      <c r="E9" s="828">
        <v>350184</v>
      </c>
      <c r="F9" s="512">
        <v>530637</v>
      </c>
      <c r="G9" s="842">
        <v>585532</v>
      </c>
      <c r="H9" s="513">
        <v>380232</v>
      </c>
      <c r="I9" s="510">
        <v>2037129</v>
      </c>
      <c r="J9" s="511">
        <v>1663085</v>
      </c>
      <c r="K9" s="512">
        <v>2037129</v>
      </c>
      <c r="L9" s="512">
        <v>1009167</v>
      </c>
      <c r="M9" s="513">
        <v>782370</v>
      </c>
      <c r="N9" s="510">
        <v>2207728</v>
      </c>
      <c r="O9" s="511">
        <v>1278194</v>
      </c>
      <c r="P9" s="512">
        <v>2207728</v>
      </c>
      <c r="Q9" s="512">
        <v>1777750</v>
      </c>
      <c r="R9" s="513">
        <v>1200892</v>
      </c>
      <c r="S9" s="510">
        <v>9179750</v>
      </c>
      <c r="T9" s="511">
        <v>11002645</v>
      </c>
      <c r="U9" s="512">
        <v>9179750</v>
      </c>
      <c r="V9" s="512">
        <v>3922150</v>
      </c>
      <c r="W9" s="513">
        <v>4581050</v>
      </c>
      <c r="X9" s="510">
        <f t="shared" ref="X9:X14" si="33">+N9+S9</f>
        <v>11387478</v>
      </c>
      <c r="Y9" s="512">
        <f t="shared" ref="Y9:AA13" si="34">+O9+T9</f>
        <v>12280839</v>
      </c>
      <c r="Z9" s="512">
        <f t="shared" si="34"/>
        <v>11387478</v>
      </c>
      <c r="AA9" s="512">
        <f t="shared" si="34"/>
        <v>5699900</v>
      </c>
      <c r="AB9" s="513">
        <f t="shared" si="31"/>
        <v>5781942</v>
      </c>
      <c r="AC9" s="510">
        <f t="shared" ref="AC9:AC95" si="35">+D9+I9+X9</f>
        <v>13955244</v>
      </c>
      <c r="AD9" s="512">
        <v>12804244</v>
      </c>
      <c r="AE9" s="512">
        <f t="shared" si="32"/>
        <v>14294108</v>
      </c>
      <c r="AF9" s="512">
        <f t="shared" si="32"/>
        <v>13955244</v>
      </c>
      <c r="AG9" s="512">
        <f t="shared" si="32"/>
        <v>7294599</v>
      </c>
      <c r="AH9" s="513">
        <f t="shared" ref="AH9:AH14" si="36">+H9+M9+AB9</f>
        <v>6944544</v>
      </c>
      <c r="AI9" s="514" t="s">
        <v>416</v>
      </c>
      <c r="AJ9" s="515" t="s">
        <v>243</v>
      </c>
      <c r="AK9" s="515" t="s">
        <v>419</v>
      </c>
      <c r="AL9" s="515" t="s">
        <v>423</v>
      </c>
      <c r="AM9" s="516" t="s">
        <v>424</v>
      </c>
    </row>
    <row r="10" spans="2:39" ht="13.5" customHeight="1" x14ac:dyDescent="0.25">
      <c r="B10" s="716" t="s">
        <v>425</v>
      </c>
      <c r="C10" s="509" t="s">
        <v>2</v>
      </c>
      <c r="D10" s="510">
        <v>358022</v>
      </c>
      <c r="E10" s="828">
        <v>286980</v>
      </c>
      <c r="F10" s="512">
        <v>358022</v>
      </c>
      <c r="G10" s="842">
        <v>498299</v>
      </c>
      <c r="H10" s="513">
        <v>473369</v>
      </c>
      <c r="I10" s="510">
        <v>255728</v>
      </c>
      <c r="J10" s="511">
        <v>135025</v>
      </c>
      <c r="K10" s="512">
        <v>255728</v>
      </c>
      <c r="L10" s="512">
        <v>135894</v>
      </c>
      <c r="M10" s="513">
        <v>139983</v>
      </c>
      <c r="N10" s="510">
        <v>1310588</v>
      </c>
      <c r="O10" s="511">
        <v>1436711</v>
      </c>
      <c r="P10" s="512">
        <v>1310588</v>
      </c>
      <c r="Q10" s="512">
        <v>1399564</v>
      </c>
      <c r="R10" s="513">
        <v>1312775</v>
      </c>
      <c r="S10" s="510">
        <v>9176313</v>
      </c>
      <c r="T10" s="511">
        <v>11053756</v>
      </c>
      <c r="U10" s="512">
        <v>9176313</v>
      </c>
      <c r="V10" s="512">
        <v>8627149</v>
      </c>
      <c r="W10" s="513">
        <v>7138749</v>
      </c>
      <c r="X10" s="510">
        <f t="shared" si="33"/>
        <v>10486901</v>
      </c>
      <c r="Y10" s="512">
        <f t="shared" si="34"/>
        <v>12490467</v>
      </c>
      <c r="Z10" s="512">
        <f t="shared" si="34"/>
        <v>10486901</v>
      </c>
      <c r="AA10" s="512">
        <f t="shared" si="34"/>
        <v>10026713</v>
      </c>
      <c r="AB10" s="513">
        <f t="shared" si="31"/>
        <v>8451524</v>
      </c>
      <c r="AC10" s="510">
        <f t="shared" si="35"/>
        <v>11100651</v>
      </c>
      <c r="AD10" s="512">
        <v>10800651</v>
      </c>
      <c r="AE10" s="512">
        <f t="shared" si="32"/>
        <v>12912472</v>
      </c>
      <c r="AF10" s="512">
        <f t="shared" si="32"/>
        <v>11100651</v>
      </c>
      <c r="AG10" s="512">
        <f t="shared" si="32"/>
        <v>10660906</v>
      </c>
      <c r="AH10" s="513">
        <f t="shared" si="36"/>
        <v>9064876</v>
      </c>
      <c r="AI10" s="514" t="s">
        <v>426</v>
      </c>
      <c r="AJ10" s="515" t="s">
        <v>243</v>
      </c>
      <c r="AK10" s="515" t="s">
        <v>419</v>
      </c>
      <c r="AL10" s="515" t="s">
        <v>420</v>
      </c>
      <c r="AM10" s="516" t="s">
        <v>427</v>
      </c>
    </row>
    <row r="11" spans="2:39" ht="13.5" customHeight="1" x14ac:dyDescent="0.25">
      <c r="B11" s="716" t="s">
        <v>428</v>
      </c>
      <c r="C11" s="509" t="s">
        <v>8</v>
      </c>
      <c r="D11" s="510">
        <v>458530</v>
      </c>
      <c r="E11" s="828">
        <v>273467</v>
      </c>
      <c r="F11" s="512">
        <v>458530</v>
      </c>
      <c r="G11" s="842">
        <v>500719</v>
      </c>
      <c r="H11" s="513">
        <v>314887</v>
      </c>
      <c r="I11" s="510">
        <v>230202</v>
      </c>
      <c r="J11" s="511">
        <v>218916</v>
      </c>
      <c r="K11" s="512">
        <v>230202</v>
      </c>
      <c r="L11" s="512">
        <v>218916</v>
      </c>
      <c r="M11" s="513">
        <v>54513</v>
      </c>
      <c r="N11" s="510">
        <v>3923359</v>
      </c>
      <c r="O11" s="511">
        <v>3599738</v>
      </c>
      <c r="P11" s="512">
        <v>3923359</v>
      </c>
      <c r="Q11" s="512">
        <v>5139173</v>
      </c>
      <c r="R11" s="513">
        <v>2640172</v>
      </c>
      <c r="S11" s="517">
        <v>7383694</v>
      </c>
      <c r="T11" s="511">
        <v>3448107</v>
      </c>
      <c r="U11" s="518">
        <v>7383694</v>
      </c>
      <c r="V11" s="512">
        <v>4781140</v>
      </c>
      <c r="W11" s="519">
        <v>3054203</v>
      </c>
      <c r="X11" s="510">
        <f t="shared" si="33"/>
        <v>11307053</v>
      </c>
      <c r="Y11" s="512">
        <f t="shared" si="34"/>
        <v>7047845</v>
      </c>
      <c r="Z11" s="512">
        <f t="shared" si="34"/>
        <v>11307053</v>
      </c>
      <c r="AA11" s="512">
        <f t="shared" si="34"/>
        <v>9920313</v>
      </c>
      <c r="AB11" s="513">
        <f t="shared" si="31"/>
        <v>5694375</v>
      </c>
      <c r="AC11" s="510">
        <f t="shared" si="35"/>
        <v>11995785</v>
      </c>
      <c r="AD11" s="512">
        <v>8846785</v>
      </c>
      <c r="AE11" s="512">
        <f t="shared" si="32"/>
        <v>7540228</v>
      </c>
      <c r="AF11" s="512">
        <f t="shared" si="32"/>
        <v>11995785</v>
      </c>
      <c r="AG11" s="512">
        <f t="shared" si="32"/>
        <v>10639948</v>
      </c>
      <c r="AH11" s="513">
        <f t="shared" si="36"/>
        <v>6063775</v>
      </c>
      <c r="AI11" s="514" t="s">
        <v>416</v>
      </c>
      <c r="AJ11" s="515" t="s">
        <v>243</v>
      </c>
      <c r="AK11" s="515" t="s">
        <v>419</v>
      </c>
      <c r="AL11" s="515" t="s">
        <v>420</v>
      </c>
      <c r="AM11" s="516" t="s">
        <v>429</v>
      </c>
    </row>
    <row r="12" spans="2:39" ht="13.5" customHeight="1" x14ac:dyDescent="0.25">
      <c r="B12" s="716" t="s">
        <v>430</v>
      </c>
      <c r="C12" s="509" t="s">
        <v>9</v>
      </c>
      <c r="D12" s="510">
        <v>191869</v>
      </c>
      <c r="E12" s="828">
        <v>166605</v>
      </c>
      <c r="F12" s="512">
        <v>191869</v>
      </c>
      <c r="G12" s="842">
        <v>219579</v>
      </c>
      <c r="H12" s="513">
        <v>0</v>
      </c>
      <c r="I12" s="510">
        <v>217790</v>
      </c>
      <c r="J12" s="511">
        <v>54469</v>
      </c>
      <c r="K12" s="512">
        <v>217790</v>
      </c>
      <c r="L12" s="512">
        <v>54469</v>
      </c>
      <c r="M12" s="513">
        <v>0</v>
      </c>
      <c r="N12" s="510">
        <v>2044530</v>
      </c>
      <c r="O12" s="511">
        <v>2039570</v>
      </c>
      <c r="P12" s="512">
        <v>2044530</v>
      </c>
      <c r="Q12" s="512">
        <v>1554347</v>
      </c>
      <c r="R12" s="513">
        <v>0</v>
      </c>
      <c r="S12" s="517">
        <v>2680002</v>
      </c>
      <c r="T12" s="511">
        <v>1976978</v>
      </c>
      <c r="U12" s="518">
        <v>2680002</v>
      </c>
      <c r="V12" s="512">
        <v>549881</v>
      </c>
      <c r="W12" s="519">
        <v>0</v>
      </c>
      <c r="X12" s="510">
        <f t="shared" si="33"/>
        <v>4724532</v>
      </c>
      <c r="Y12" s="512">
        <f t="shared" si="34"/>
        <v>4016548</v>
      </c>
      <c r="Z12" s="512">
        <f t="shared" si="34"/>
        <v>4724532</v>
      </c>
      <c r="AA12" s="512">
        <f t="shared" si="34"/>
        <v>2104228</v>
      </c>
      <c r="AB12" s="513">
        <f t="shared" si="31"/>
        <v>0</v>
      </c>
      <c r="AC12" s="510">
        <f t="shared" si="35"/>
        <v>5134191</v>
      </c>
      <c r="AD12" s="512">
        <v>5134191</v>
      </c>
      <c r="AE12" s="512">
        <f t="shared" si="32"/>
        <v>4237622</v>
      </c>
      <c r="AF12" s="512">
        <f t="shared" si="32"/>
        <v>5134191</v>
      </c>
      <c r="AG12" s="512">
        <f t="shared" si="32"/>
        <v>2378276</v>
      </c>
      <c r="AH12" s="513">
        <f t="shared" si="36"/>
        <v>0</v>
      </c>
      <c r="AI12" s="514" t="s">
        <v>416</v>
      </c>
      <c r="AJ12" s="515" t="s">
        <v>243</v>
      </c>
      <c r="AK12" s="515" t="s">
        <v>419</v>
      </c>
      <c r="AL12" s="515" t="s">
        <v>431</v>
      </c>
      <c r="AM12" s="516" t="s">
        <v>432</v>
      </c>
    </row>
    <row r="13" spans="2:39" ht="13.5" customHeight="1" x14ac:dyDescent="0.25">
      <c r="B13" s="716" t="s">
        <v>433</v>
      </c>
      <c r="C13" s="509" t="s">
        <v>7</v>
      </c>
      <c r="D13" s="510">
        <v>440538</v>
      </c>
      <c r="E13" s="828">
        <v>261758</v>
      </c>
      <c r="F13" s="512">
        <v>440538</v>
      </c>
      <c r="G13" s="842">
        <v>200544</v>
      </c>
      <c r="H13" s="513">
        <v>350000</v>
      </c>
      <c r="I13" s="510">
        <v>408283</v>
      </c>
      <c r="J13" s="511">
        <v>416496</v>
      </c>
      <c r="K13" s="512">
        <v>408283</v>
      </c>
      <c r="L13" s="512">
        <v>0</v>
      </c>
      <c r="M13" s="513">
        <v>0</v>
      </c>
      <c r="N13" s="510">
        <v>758186</v>
      </c>
      <c r="O13" s="511">
        <v>1263877</v>
      </c>
      <c r="P13" s="512">
        <v>758186</v>
      </c>
      <c r="Q13" s="512">
        <v>900922</v>
      </c>
      <c r="R13" s="513">
        <v>0</v>
      </c>
      <c r="S13" s="517">
        <v>2644222.2200000002</v>
      </c>
      <c r="T13" s="511">
        <v>4940534</v>
      </c>
      <c r="U13" s="518">
        <v>2644222.2200000002</v>
      </c>
      <c r="V13" s="512">
        <v>2644230</v>
      </c>
      <c r="W13" s="519">
        <v>0</v>
      </c>
      <c r="X13" s="510">
        <f t="shared" si="33"/>
        <v>3402408.22</v>
      </c>
      <c r="Y13" s="512">
        <f t="shared" si="34"/>
        <v>6204411</v>
      </c>
      <c r="Z13" s="512">
        <f t="shared" si="34"/>
        <v>3402408.22</v>
      </c>
      <c r="AA13" s="512">
        <f t="shared" si="34"/>
        <v>3545152</v>
      </c>
      <c r="AB13" s="513">
        <f t="shared" si="31"/>
        <v>0</v>
      </c>
      <c r="AC13" s="510">
        <f t="shared" si="35"/>
        <v>4251229.2200000007</v>
      </c>
      <c r="AD13" s="512">
        <v>4251229.2200000007</v>
      </c>
      <c r="AE13" s="512">
        <f t="shared" si="32"/>
        <v>6882665</v>
      </c>
      <c r="AF13" s="512">
        <f t="shared" si="32"/>
        <v>4251229.2200000007</v>
      </c>
      <c r="AG13" s="512">
        <f t="shared" si="32"/>
        <v>3745696</v>
      </c>
      <c r="AH13" s="513">
        <f t="shared" si="36"/>
        <v>350000</v>
      </c>
      <c r="AI13" s="514" t="s">
        <v>426</v>
      </c>
      <c r="AJ13" s="515" t="s">
        <v>243</v>
      </c>
      <c r="AK13" s="515" t="s">
        <v>434</v>
      </c>
      <c r="AL13" s="515" t="s">
        <v>423</v>
      </c>
      <c r="AM13" s="516" t="s">
        <v>435</v>
      </c>
    </row>
    <row r="14" spans="2:39" ht="13.5" customHeight="1" x14ac:dyDescent="0.25">
      <c r="B14" s="716" t="s">
        <v>436</v>
      </c>
      <c r="C14" s="520" t="s">
        <v>199</v>
      </c>
      <c r="D14" s="521">
        <v>0</v>
      </c>
      <c r="E14" s="828">
        <v>0</v>
      </c>
      <c r="F14" s="512">
        <v>0</v>
      </c>
      <c r="G14" s="842">
        <v>0</v>
      </c>
      <c r="H14" s="513">
        <v>240826</v>
      </c>
      <c r="I14" s="521">
        <v>0</v>
      </c>
      <c r="J14" s="511">
        <v>0</v>
      </c>
      <c r="K14" s="512">
        <v>0</v>
      </c>
      <c r="L14" s="512">
        <v>0</v>
      </c>
      <c r="M14" s="513">
        <v>93273</v>
      </c>
      <c r="N14" s="521">
        <v>0</v>
      </c>
      <c r="O14" s="511">
        <v>0</v>
      </c>
      <c r="P14" s="512">
        <v>0</v>
      </c>
      <c r="Q14" s="512">
        <v>0</v>
      </c>
      <c r="R14" s="513">
        <v>457932</v>
      </c>
      <c r="S14" s="521">
        <v>0</v>
      </c>
      <c r="T14" s="511">
        <v>0</v>
      </c>
      <c r="U14" s="518">
        <v>0</v>
      </c>
      <c r="V14" s="512">
        <v>0</v>
      </c>
      <c r="W14" s="519">
        <v>3441874</v>
      </c>
      <c r="X14" s="510">
        <f t="shared" si="33"/>
        <v>0</v>
      </c>
      <c r="Y14" s="512">
        <v>0</v>
      </c>
      <c r="Z14" s="512">
        <f>+P14+U14</f>
        <v>0</v>
      </c>
      <c r="AA14" s="512">
        <f>+Q14+V14</f>
        <v>0</v>
      </c>
      <c r="AB14" s="513">
        <f t="shared" si="31"/>
        <v>3899806</v>
      </c>
      <c r="AC14" s="510">
        <f t="shared" si="35"/>
        <v>0</v>
      </c>
      <c r="AD14" s="512">
        <v>0</v>
      </c>
      <c r="AE14" s="512">
        <v>0</v>
      </c>
      <c r="AF14" s="512">
        <v>0</v>
      </c>
      <c r="AG14" s="512">
        <v>0</v>
      </c>
      <c r="AH14" s="513">
        <f t="shared" si="36"/>
        <v>4233905</v>
      </c>
      <c r="AI14" s="514" t="s">
        <v>416</v>
      </c>
      <c r="AJ14" s="515" t="s">
        <v>243</v>
      </c>
      <c r="AK14" s="515" t="s">
        <v>419</v>
      </c>
      <c r="AL14" s="515" t="s">
        <v>437</v>
      </c>
      <c r="AM14" s="515" t="s">
        <v>438</v>
      </c>
    </row>
    <row r="15" spans="2:39" ht="13.5" customHeight="1" x14ac:dyDescent="0.3">
      <c r="B15" s="522" t="s">
        <v>471</v>
      </c>
      <c r="C15" s="523" t="s">
        <v>472</v>
      </c>
      <c r="D15" s="501">
        <f t="shared" ref="D15" si="37">SUM(D16:D18)</f>
        <v>981053</v>
      </c>
      <c r="E15" s="827">
        <f t="shared" ref="E15" si="38">SUM(E16:E18)</f>
        <v>363955</v>
      </c>
      <c r="F15" s="501">
        <f t="shared" ref="F15" si="39">SUM(F16:F18)</f>
        <v>981053</v>
      </c>
      <c r="G15" s="827">
        <f t="shared" ref="G15" si="40">SUM(G16:G18)</f>
        <v>1478024</v>
      </c>
      <c r="H15" s="501">
        <f t="shared" ref="H15" si="41">SUM(H16:H18)</f>
        <v>2354739</v>
      </c>
      <c r="I15" s="501">
        <f t="shared" ref="I15" si="42">SUM(I16:I18)</f>
        <v>360375</v>
      </c>
      <c r="J15" s="501">
        <f t="shared" ref="J15" si="43">SUM(J16:J18)</f>
        <v>44306</v>
      </c>
      <c r="K15" s="501">
        <f t="shared" ref="K15" si="44">SUM(K16:K18)</f>
        <v>360375</v>
      </c>
      <c r="L15" s="501">
        <f t="shared" ref="L15" si="45">SUM(L16:L18)</f>
        <v>161900</v>
      </c>
      <c r="M15" s="501">
        <f t="shared" ref="M15" si="46">SUM(M16:M18)</f>
        <v>0</v>
      </c>
      <c r="N15" s="501">
        <f t="shared" ref="N15" si="47">SUM(N16:N18)</f>
        <v>5502958</v>
      </c>
      <c r="O15" s="501">
        <f t="shared" ref="O15" si="48">SUM(O16:O18)</f>
        <v>1419711</v>
      </c>
      <c r="P15" s="501">
        <f t="shared" ref="P15" si="49">SUM(P16:P18)</f>
        <v>5502958</v>
      </c>
      <c r="Q15" s="501">
        <f t="shared" ref="Q15" si="50">SUM(Q16:Q18)</f>
        <v>3617604</v>
      </c>
      <c r="R15" s="501">
        <f t="shared" ref="R15" si="51">SUM(R16:R18)</f>
        <v>1930782</v>
      </c>
      <c r="S15" s="501">
        <f t="shared" ref="S15" si="52">SUM(S16:S18)</f>
        <v>28409853</v>
      </c>
      <c r="T15" s="501">
        <f t="shared" ref="T15" si="53">SUM(T16:T18)</f>
        <v>30900748</v>
      </c>
      <c r="U15" s="501">
        <f t="shared" ref="U15" si="54">SUM(U16:U18)</f>
        <v>28409853</v>
      </c>
      <c r="V15" s="501">
        <f t="shared" ref="V15" si="55">SUM(V16:V18)</f>
        <v>44284691</v>
      </c>
      <c r="W15" s="501">
        <f t="shared" ref="W15" si="56">SUM(W16:W18)</f>
        <v>47038741</v>
      </c>
      <c r="X15" s="501">
        <f t="shared" ref="X15" si="57">SUM(X16:X18)</f>
        <v>33912811</v>
      </c>
      <c r="Y15" s="501">
        <f t="shared" ref="Y15" si="58">SUM(Y16:Y18)</f>
        <v>32320459</v>
      </c>
      <c r="Z15" s="501">
        <f t="shared" ref="Z15" si="59">SUM(Z16:Z18)</f>
        <v>33912811</v>
      </c>
      <c r="AA15" s="501">
        <f t="shared" ref="AA15" si="60">SUM(AA16:AA18)</f>
        <v>47902295</v>
      </c>
      <c r="AB15" s="501">
        <f t="shared" ref="AB15" si="61">SUM(AB16:AB18)</f>
        <v>48969523</v>
      </c>
      <c r="AC15" s="501">
        <f t="shared" ref="AC15" si="62">SUM(AC16:AC18)</f>
        <v>35254239</v>
      </c>
      <c r="AD15" s="501">
        <f t="shared" ref="AD15" si="63">SUM(AD16:AD18)</f>
        <v>36409560</v>
      </c>
      <c r="AE15" s="501">
        <f t="shared" ref="AE15" si="64">SUM(AE16:AE18)</f>
        <v>32728720</v>
      </c>
      <c r="AF15" s="501">
        <f t="shared" ref="AF15" si="65">SUM(AF16:AF18)</f>
        <v>35254239</v>
      </c>
      <c r="AG15" s="501">
        <f t="shared" ref="AG15" si="66">SUM(AG16:AG18)</f>
        <v>49542219</v>
      </c>
      <c r="AH15" s="501">
        <f t="shared" ref="AH15" si="67">SUM(AH16:AH18)</f>
        <v>51324262</v>
      </c>
      <c r="AI15" s="524" t="s">
        <v>473</v>
      </c>
      <c r="AJ15" s="525" t="s">
        <v>474</v>
      </c>
      <c r="AK15" s="525"/>
      <c r="AL15" s="525"/>
      <c r="AM15" s="526" t="s">
        <v>456</v>
      </c>
    </row>
    <row r="16" spans="2:39" ht="13.5" customHeight="1" x14ac:dyDescent="0.25">
      <c r="B16" s="716" t="s">
        <v>475</v>
      </c>
      <c r="C16" s="509" t="s">
        <v>71</v>
      </c>
      <c r="D16" s="510">
        <v>49635</v>
      </c>
      <c r="E16" s="828">
        <v>31088</v>
      </c>
      <c r="F16" s="512">
        <v>49635</v>
      </c>
      <c r="G16" s="842">
        <v>19290</v>
      </c>
      <c r="H16" s="513">
        <v>93024</v>
      </c>
      <c r="I16" s="510">
        <v>0</v>
      </c>
      <c r="J16" s="511">
        <v>0</v>
      </c>
      <c r="K16" s="512">
        <v>0</v>
      </c>
      <c r="L16" s="512"/>
      <c r="M16" s="513">
        <v>0</v>
      </c>
      <c r="N16" s="510">
        <v>266610</v>
      </c>
      <c r="O16" s="511">
        <v>159315</v>
      </c>
      <c r="P16" s="512">
        <v>266610</v>
      </c>
      <c r="Q16" s="512">
        <v>181250</v>
      </c>
      <c r="R16" s="513">
        <v>0</v>
      </c>
      <c r="S16" s="510"/>
      <c r="T16" s="511">
        <v>0</v>
      </c>
      <c r="U16" s="512"/>
      <c r="V16" s="512"/>
      <c r="W16" s="513">
        <v>0</v>
      </c>
      <c r="X16" s="510">
        <f t="shared" ref="X16:AA18" si="68">+N16+S16</f>
        <v>266610</v>
      </c>
      <c r="Y16" s="512">
        <f t="shared" si="68"/>
        <v>159315</v>
      </c>
      <c r="Z16" s="512">
        <f t="shared" si="68"/>
        <v>266610</v>
      </c>
      <c r="AA16" s="512">
        <f t="shared" si="68"/>
        <v>181250</v>
      </c>
      <c r="AB16" s="513">
        <f t="shared" ref="AB16:AB18" si="69">+R16+W16</f>
        <v>0</v>
      </c>
      <c r="AC16" s="510">
        <f>+D16+I16+X16</f>
        <v>316245</v>
      </c>
      <c r="AD16" s="512">
        <v>316245</v>
      </c>
      <c r="AE16" s="512">
        <f t="shared" ref="AE16:AG18" si="70">+E16+J16+Y16</f>
        <v>190403</v>
      </c>
      <c r="AF16" s="512">
        <f t="shared" si="70"/>
        <v>316245</v>
      </c>
      <c r="AG16" s="512">
        <f t="shared" si="70"/>
        <v>200540</v>
      </c>
      <c r="AH16" s="513">
        <f t="shared" ref="AH16:AH18" si="71">+H16+M16+AB16</f>
        <v>93024</v>
      </c>
      <c r="AI16" s="514" t="s">
        <v>426</v>
      </c>
      <c r="AJ16" s="515" t="s">
        <v>474</v>
      </c>
      <c r="AK16" s="515" t="s">
        <v>434</v>
      </c>
      <c r="AL16" s="515" t="s">
        <v>420</v>
      </c>
      <c r="AM16" s="516" t="s">
        <v>456</v>
      </c>
    </row>
    <row r="17" spans="2:39" ht="13.5" customHeight="1" x14ac:dyDescent="0.25">
      <c r="B17" s="716" t="s">
        <v>476</v>
      </c>
      <c r="C17" s="509" t="s">
        <v>477</v>
      </c>
      <c r="D17" s="510">
        <v>608440</v>
      </c>
      <c r="E17" s="828">
        <v>99610</v>
      </c>
      <c r="F17" s="512">
        <v>608440</v>
      </c>
      <c r="G17" s="842">
        <f>109376+222066</f>
        <v>331442</v>
      </c>
      <c r="H17" s="513">
        <v>0</v>
      </c>
      <c r="I17" s="510">
        <v>164458</v>
      </c>
      <c r="J17" s="511">
        <v>15929</v>
      </c>
      <c r="K17" s="512">
        <v>164458</v>
      </c>
      <c r="L17" s="512">
        <f>53427+108473</f>
        <v>161900</v>
      </c>
      <c r="M17" s="513">
        <v>0</v>
      </c>
      <c r="N17" s="510">
        <v>3765540</v>
      </c>
      <c r="O17" s="511">
        <v>672539</v>
      </c>
      <c r="P17" s="512">
        <v>3765540</v>
      </c>
      <c r="Q17" s="512">
        <f>407746+1381566</f>
        <v>1789312</v>
      </c>
      <c r="R17" s="513">
        <v>0</v>
      </c>
      <c r="S17" s="510">
        <v>2274541</v>
      </c>
      <c r="T17" s="511">
        <v>27134</v>
      </c>
      <c r="U17" s="512">
        <v>2274541</v>
      </c>
      <c r="V17" s="512">
        <v>4025459</v>
      </c>
      <c r="W17" s="513">
        <v>0</v>
      </c>
      <c r="X17" s="510">
        <f t="shared" si="68"/>
        <v>6040081</v>
      </c>
      <c r="Y17" s="512">
        <f t="shared" si="68"/>
        <v>699673</v>
      </c>
      <c r="Z17" s="512">
        <f t="shared" si="68"/>
        <v>6040081</v>
      </c>
      <c r="AA17" s="512">
        <f t="shared" si="68"/>
        <v>5814771</v>
      </c>
      <c r="AB17" s="513">
        <f t="shared" si="69"/>
        <v>0</v>
      </c>
      <c r="AC17" s="510">
        <f>+D17+I17+X17</f>
        <v>6812979</v>
      </c>
      <c r="AD17" s="512">
        <v>3701979</v>
      </c>
      <c r="AE17" s="512">
        <f t="shared" si="70"/>
        <v>815212</v>
      </c>
      <c r="AF17" s="512">
        <f t="shared" si="70"/>
        <v>6812979</v>
      </c>
      <c r="AG17" s="512">
        <f t="shared" si="70"/>
        <v>6308113</v>
      </c>
      <c r="AH17" s="513">
        <f t="shared" si="71"/>
        <v>0</v>
      </c>
      <c r="AI17" s="514" t="s">
        <v>416</v>
      </c>
      <c r="AJ17" s="515" t="s">
        <v>474</v>
      </c>
      <c r="AK17" s="515" t="s">
        <v>419</v>
      </c>
      <c r="AL17" s="515" t="s">
        <v>431</v>
      </c>
      <c r="AM17" s="516" t="s">
        <v>456</v>
      </c>
    </row>
    <row r="18" spans="2:39" ht="13.5" customHeight="1" x14ac:dyDescent="0.25">
      <c r="B18" s="716" t="s">
        <v>478</v>
      </c>
      <c r="C18" s="509" t="s">
        <v>5</v>
      </c>
      <c r="D18" s="510">
        <v>322978</v>
      </c>
      <c r="E18" s="828">
        <v>233257</v>
      </c>
      <c r="F18" s="512">
        <v>322978</v>
      </c>
      <c r="G18" s="842">
        <v>1127292</v>
      </c>
      <c r="H18" s="513">
        <v>2261715</v>
      </c>
      <c r="I18" s="510">
        <v>195917</v>
      </c>
      <c r="J18" s="511">
        <v>28377</v>
      </c>
      <c r="K18" s="512">
        <v>195917</v>
      </c>
      <c r="L18" s="512">
        <v>0</v>
      </c>
      <c r="M18" s="513">
        <v>0</v>
      </c>
      <c r="N18" s="510">
        <v>1470808</v>
      </c>
      <c r="O18" s="511">
        <v>587857</v>
      </c>
      <c r="P18" s="512">
        <v>1470808</v>
      </c>
      <c r="Q18" s="512">
        <v>1647042</v>
      </c>
      <c r="R18" s="513">
        <v>1930782</v>
      </c>
      <c r="S18" s="510">
        <v>26135312</v>
      </c>
      <c r="T18" s="511">
        <v>30873614</v>
      </c>
      <c r="U18" s="512">
        <v>26135312</v>
      </c>
      <c r="V18" s="512">
        <v>40259232</v>
      </c>
      <c r="W18" s="513">
        <v>47038741</v>
      </c>
      <c r="X18" s="510">
        <f t="shared" si="68"/>
        <v>27606120</v>
      </c>
      <c r="Y18" s="512">
        <f t="shared" si="68"/>
        <v>31461471</v>
      </c>
      <c r="Z18" s="512">
        <f t="shared" si="68"/>
        <v>27606120</v>
      </c>
      <c r="AA18" s="512">
        <f t="shared" si="68"/>
        <v>41906274</v>
      </c>
      <c r="AB18" s="513">
        <f t="shared" si="69"/>
        <v>48969523</v>
      </c>
      <c r="AC18" s="510">
        <f>+D18+I18+X18</f>
        <v>28125015</v>
      </c>
      <c r="AD18" s="512">
        <v>32391336</v>
      </c>
      <c r="AE18" s="512">
        <f t="shared" si="70"/>
        <v>31723105</v>
      </c>
      <c r="AF18" s="512">
        <f t="shared" si="70"/>
        <v>28125015</v>
      </c>
      <c r="AG18" s="512">
        <f t="shared" si="70"/>
        <v>43033566</v>
      </c>
      <c r="AH18" s="513">
        <f t="shared" si="71"/>
        <v>51231238</v>
      </c>
      <c r="AI18" s="514" t="s">
        <v>416</v>
      </c>
      <c r="AJ18" s="515" t="s">
        <v>474</v>
      </c>
      <c r="AK18" s="515" t="s">
        <v>419</v>
      </c>
      <c r="AL18" s="515" t="s">
        <v>420</v>
      </c>
      <c r="AM18" s="516" t="s">
        <v>456</v>
      </c>
    </row>
    <row r="19" spans="2:39" ht="13.5" customHeight="1" x14ac:dyDescent="0.3">
      <c r="B19" s="536"/>
      <c r="C19" s="523" t="s">
        <v>554</v>
      </c>
      <c r="D19" s="501">
        <f>D20</f>
        <v>375641</v>
      </c>
      <c r="E19" s="827">
        <f t="shared" ref="E19:AH19" si="72">E20</f>
        <v>310834</v>
      </c>
      <c r="F19" s="501">
        <f t="shared" si="72"/>
        <v>375641</v>
      </c>
      <c r="G19" s="827">
        <f t="shared" si="72"/>
        <v>158450</v>
      </c>
      <c r="H19" s="501">
        <f t="shared" si="72"/>
        <v>257401</v>
      </c>
      <c r="I19" s="501">
        <f t="shared" si="72"/>
        <v>8200</v>
      </c>
      <c r="J19" s="501">
        <f t="shared" si="72"/>
        <v>74875</v>
      </c>
      <c r="K19" s="501">
        <f t="shared" si="72"/>
        <v>8200</v>
      </c>
      <c r="L19" s="501">
        <f t="shared" si="72"/>
        <v>8061</v>
      </c>
      <c r="M19" s="501">
        <f t="shared" si="72"/>
        <v>22982</v>
      </c>
      <c r="N19" s="501">
        <f t="shared" si="72"/>
        <v>230351</v>
      </c>
      <c r="O19" s="501">
        <f t="shared" si="72"/>
        <v>551809</v>
      </c>
      <c r="P19" s="501">
        <f t="shared" si="72"/>
        <v>230351</v>
      </c>
      <c r="Q19" s="501">
        <f t="shared" si="72"/>
        <v>250767</v>
      </c>
      <c r="R19" s="501">
        <f t="shared" si="72"/>
        <v>291659</v>
      </c>
      <c r="S19" s="501">
        <f t="shared" si="72"/>
        <v>2408247</v>
      </c>
      <c r="T19" s="501">
        <f t="shared" si="72"/>
        <v>5319059</v>
      </c>
      <c r="U19" s="501">
        <f t="shared" si="72"/>
        <v>2408247</v>
      </c>
      <c r="V19" s="501">
        <f t="shared" si="72"/>
        <v>3609775</v>
      </c>
      <c r="W19" s="501">
        <f t="shared" si="72"/>
        <v>4224699</v>
      </c>
      <c r="X19" s="501">
        <f t="shared" si="72"/>
        <v>2638598</v>
      </c>
      <c r="Y19" s="501">
        <f t="shared" si="72"/>
        <v>5870868</v>
      </c>
      <c r="Z19" s="501">
        <f t="shared" si="72"/>
        <v>2638598</v>
      </c>
      <c r="AA19" s="501">
        <f t="shared" si="72"/>
        <v>3860542</v>
      </c>
      <c r="AB19" s="501">
        <f t="shared" si="72"/>
        <v>4516358</v>
      </c>
      <c r="AC19" s="501">
        <f t="shared" si="72"/>
        <v>3022439</v>
      </c>
      <c r="AD19" s="501">
        <f t="shared" si="72"/>
        <v>4022439</v>
      </c>
      <c r="AE19" s="501">
        <f t="shared" si="72"/>
        <v>6256577</v>
      </c>
      <c r="AF19" s="501">
        <f t="shared" si="72"/>
        <v>3022439</v>
      </c>
      <c r="AG19" s="501">
        <f t="shared" si="72"/>
        <v>4027053</v>
      </c>
      <c r="AH19" s="501">
        <f t="shared" si="72"/>
        <v>4796741</v>
      </c>
      <c r="AI19" s="524"/>
      <c r="AJ19" s="525"/>
      <c r="AK19" s="535"/>
      <c r="AL19" s="535"/>
      <c r="AM19" s="526"/>
    </row>
    <row r="20" spans="2:39" ht="13.5" customHeight="1" x14ac:dyDescent="0.3">
      <c r="B20" s="719" t="s">
        <v>555</v>
      </c>
      <c r="C20" s="527" t="s">
        <v>4</v>
      </c>
      <c r="D20" s="510">
        <v>375641</v>
      </c>
      <c r="E20" s="829">
        <v>310834</v>
      </c>
      <c r="F20" s="518">
        <v>375641</v>
      </c>
      <c r="G20" s="829">
        <v>158450</v>
      </c>
      <c r="H20" s="519">
        <v>257401</v>
      </c>
      <c r="I20" s="510">
        <v>8200</v>
      </c>
      <c r="J20" s="518">
        <v>74875</v>
      </c>
      <c r="K20" s="518">
        <v>8200</v>
      </c>
      <c r="L20" s="518">
        <v>8061</v>
      </c>
      <c r="M20" s="519">
        <v>22982</v>
      </c>
      <c r="N20" s="510">
        <v>230351</v>
      </c>
      <c r="O20" s="518">
        <v>551809</v>
      </c>
      <c r="P20" s="518">
        <v>230351</v>
      </c>
      <c r="Q20" s="518">
        <v>250767</v>
      </c>
      <c r="R20" s="519">
        <v>291659</v>
      </c>
      <c r="S20" s="510">
        <v>2408247</v>
      </c>
      <c r="T20" s="518">
        <v>5319059</v>
      </c>
      <c r="U20" s="518">
        <v>2408247</v>
      </c>
      <c r="V20" s="518">
        <v>3609775</v>
      </c>
      <c r="W20" s="519">
        <v>4224699</v>
      </c>
      <c r="X20" s="510">
        <f>+N20+S20</f>
        <v>2638598</v>
      </c>
      <c r="Y20" s="512">
        <f>+O20+T20</f>
        <v>5870868</v>
      </c>
      <c r="Z20" s="512">
        <f>+P20+U20</f>
        <v>2638598</v>
      </c>
      <c r="AA20" s="512">
        <f>+Q20+V20</f>
        <v>3860542</v>
      </c>
      <c r="AB20" s="513">
        <f t="shared" ref="AB20" si="73">+R20+W20</f>
        <v>4516358</v>
      </c>
      <c r="AC20" s="510">
        <f t="shared" ref="AC20" si="74">+D20+I20+X20</f>
        <v>3022439</v>
      </c>
      <c r="AD20" s="512">
        <v>4022439</v>
      </c>
      <c r="AE20" s="512">
        <f>+E20+J20+Y20</f>
        <v>6256577</v>
      </c>
      <c r="AF20" s="512">
        <f>+F20+K20+Z20</f>
        <v>3022439</v>
      </c>
      <c r="AG20" s="512">
        <f>+G20+L20+AA20</f>
        <v>4027053</v>
      </c>
      <c r="AH20" s="513">
        <f>+H20+M20+AB20</f>
        <v>4796741</v>
      </c>
      <c r="AI20" s="538" t="s">
        <v>516</v>
      </c>
      <c r="AJ20" s="539" t="s">
        <v>243</v>
      </c>
      <c r="AK20" s="539" t="s">
        <v>419</v>
      </c>
      <c r="AL20" s="539" t="s">
        <v>420</v>
      </c>
      <c r="AM20" s="540" t="s">
        <v>556</v>
      </c>
    </row>
    <row r="21" spans="2:39" ht="13.5" customHeight="1" x14ac:dyDescent="0.3">
      <c r="B21" s="508"/>
      <c r="C21" s="523" t="s">
        <v>580</v>
      </c>
      <c r="D21" s="501">
        <f>SUM(D22)</f>
        <v>475299</v>
      </c>
      <c r="E21" s="827">
        <f t="shared" ref="E21:AH21" si="75">SUM(E22)</f>
        <v>145840</v>
      </c>
      <c r="F21" s="501">
        <f t="shared" si="75"/>
        <v>475299</v>
      </c>
      <c r="G21" s="827">
        <f t="shared" si="75"/>
        <v>71059</v>
      </c>
      <c r="H21" s="501">
        <f t="shared" si="75"/>
        <v>0</v>
      </c>
      <c r="I21" s="501">
        <f t="shared" si="75"/>
        <v>9697</v>
      </c>
      <c r="J21" s="501">
        <f t="shared" si="75"/>
        <v>704</v>
      </c>
      <c r="K21" s="501">
        <f t="shared" si="75"/>
        <v>9697</v>
      </c>
      <c r="L21" s="501">
        <f t="shared" si="75"/>
        <v>704</v>
      </c>
      <c r="M21" s="501">
        <f t="shared" si="75"/>
        <v>0</v>
      </c>
      <c r="N21" s="501">
        <f t="shared" si="75"/>
        <v>657719</v>
      </c>
      <c r="O21" s="501">
        <f t="shared" si="75"/>
        <v>801344</v>
      </c>
      <c r="P21" s="501">
        <f t="shared" si="75"/>
        <v>657719</v>
      </c>
      <c r="Q21" s="501">
        <f t="shared" si="75"/>
        <v>593423</v>
      </c>
      <c r="R21" s="501">
        <f t="shared" si="75"/>
        <v>0</v>
      </c>
      <c r="S21" s="501">
        <f t="shared" si="75"/>
        <v>0</v>
      </c>
      <c r="T21" s="501">
        <f t="shared" si="75"/>
        <v>-1453</v>
      </c>
      <c r="U21" s="501">
        <f t="shared" si="75"/>
        <v>0</v>
      </c>
      <c r="V21" s="501">
        <f t="shared" si="75"/>
        <v>0</v>
      </c>
      <c r="W21" s="501">
        <f t="shared" si="75"/>
        <v>0</v>
      </c>
      <c r="X21" s="501">
        <f t="shared" si="75"/>
        <v>657719</v>
      </c>
      <c r="Y21" s="501">
        <f t="shared" si="75"/>
        <v>799891</v>
      </c>
      <c r="Z21" s="501">
        <f t="shared" si="75"/>
        <v>657719</v>
      </c>
      <c r="AA21" s="501">
        <f t="shared" si="75"/>
        <v>593423</v>
      </c>
      <c r="AB21" s="501">
        <f t="shared" si="75"/>
        <v>0</v>
      </c>
      <c r="AC21" s="501">
        <f t="shared" si="75"/>
        <v>1142715</v>
      </c>
      <c r="AD21" s="501">
        <f t="shared" si="75"/>
        <v>1142715</v>
      </c>
      <c r="AE21" s="501">
        <f t="shared" si="75"/>
        <v>946435</v>
      </c>
      <c r="AF21" s="501">
        <f t="shared" si="75"/>
        <v>1142715</v>
      </c>
      <c r="AG21" s="501">
        <f t="shared" si="75"/>
        <v>665186</v>
      </c>
      <c r="AH21" s="501">
        <f t="shared" si="75"/>
        <v>0</v>
      </c>
      <c r="AI21" s="524"/>
      <c r="AJ21" s="525"/>
      <c r="AK21" s="535"/>
      <c r="AL21" s="535"/>
      <c r="AM21" s="526"/>
    </row>
    <row r="22" spans="2:39" ht="13.5" customHeight="1" x14ac:dyDescent="0.3">
      <c r="B22" s="719" t="s">
        <v>581</v>
      </c>
      <c r="C22" s="527" t="s">
        <v>87</v>
      </c>
      <c r="D22" s="510">
        <v>475299</v>
      </c>
      <c r="E22" s="829">
        <v>145840</v>
      </c>
      <c r="F22" s="518">
        <v>475299</v>
      </c>
      <c r="G22" s="829">
        <v>71059</v>
      </c>
      <c r="H22" s="519">
        <v>0</v>
      </c>
      <c r="I22" s="510">
        <v>9697</v>
      </c>
      <c r="J22" s="518">
        <v>704</v>
      </c>
      <c r="K22" s="518">
        <v>9697</v>
      </c>
      <c r="L22" s="518">
        <v>704</v>
      </c>
      <c r="M22" s="519">
        <v>0</v>
      </c>
      <c r="N22" s="510">
        <v>657719</v>
      </c>
      <c r="O22" s="518">
        <v>801344</v>
      </c>
      <c r="P22" s="518">
        <v>657719</v>
      </c>
      <c r="Q22" s="518">
        <v>593423</v>
      </c>
      <c r="R22" s="519">
        <v>0</v>
      </c>
      <c r="S22" s="510">
        <v>0</v>
      </c>
      <c r="T22" s="518">
        <v>-1453</v>
      </c>
      <c r="U22" s="518">
        <v>0</v>
      </c>
      <c r="V22" s="518"/>
      <c r="W22" s="519">
        <v>0</v>
      </c>
      <c r="X22" s="510">
        <f>+N22+S22</f>
        <v>657719</v>
      </c>
      <c r="Y22" s="512">
        <f>+O22+T22</f>
        <v>799891</v>
      </c>
      <c r="Z22" s="512">
        <f>+P22+U22</f>
        <v>657719</v>
      </c>
      <c r="AA22" s="512">
        <f>+Q22+V22</f>
        <v>593423</v>
      </c>
      <c r="AB22" s="513">
        <f>+R22+W22</f>
        <v>0</v>
      </c>
      <c r="AC22" s="510">
        <f>+D22+I22+X22</f>
        <v>1142715</v>
      </c>
      <c r="AD22" s="512">
        <v>1142715</v>
      </c>
      <c r="AE22" s="512">
        <f>+E22+J22+Y22</f>
        <v>946435</v>
      </c>
      <c r="AF22" s="512">
        <f>+F22+K22+Z22</f>
        <v>1142715</v>
      </c>
      <c r="AG22" s="512">
        <f>+G22+L22+AA22</f>
        <v>665186</v>
      </c>
      <c r="AH22" s="513">
        <f>+H22+M22+AB22</f>
        <v>0</v>
      </c>
      <c r="AI22" s="538" t="s">
        <v>516</v>
      </c>
      <c r="AJ22" s="539" t="s">
        <v>474</v>
      </c>
      <c r="AK22" s="539" t="s">
        <v>434</v>
      </c>
      <c r="AL22" s="539" t="s">
        <v>431</v>
      </c>
      <c r="AM22" s="540" t="s">
        <v>435</v>
      </c>
    </row>
    <row r="23" spans="2:39" ht="13.5" customHeight="1" x14ac:dyDescent="0.3">
      <c r="B23" s="522" t="s">
        <v>439</v>
      </c>
      <c r="C23" s="523" t="s">
        <v>440</v>
      </c>
      <c r="D23" s="501">
        <f>SUM(D24:D32)</f>
        <v>4803257</v>
      </c>
      <c r="E23" s="827">
        <f t="shared" ref="E23:AH23" si="76">SUM(E24:E32)</f>
        <v>3192459</v>
      </c>
      <c r="F23" s="501">
        <f t="shared" si="76"/>
        <v>4803257</v>
      </c>
      <c r="G23" s="827">
        <f t="shared" si="76"/>
        <v>4276674</v>
      </c>
      <c r="H23" s="501">
        <f t="shared" si="76"/>
        <v>4334540</v>
      </c>
      <c r="I23" s="501">
        <f t="shared" si="76"/>
        <v>1025917</v>
      </c>
      <c r="J23" s="501">
        <f t="shared" si="76"/>
        <v>862091</v>
      </c>
      <c r="K23" s="501">
        <f t="shared" si="76"/>
        <v>1025917</v>
      </c>
      <c r="L23" s="501">
        <f t="shared" si="76"/>
        <v>473411</v>
      </c>
      <c r="M23" s="501">
        <f t="shared" si="76"/>
        <v>553685</v>
      </c>
      <c r="N23" s="501">
        <f t="shared" si="76"/>
        <v>32400245</v>
      </c>
      <c r="O23" s="501">
        <f t="shared" si="76"/>
        <v>30531755</v>
      </c>
      <c r="P23" s="501">
        <f t="shared" si="76"/>
        <v>32400245</v>
      </c>
      <c r="Q23" s="501">
        <f t="shared" si="76"/>
        <v>23427495</v>
      </c>
      <c r="R23" s="501">
        <f t="shared" si="76"/>
        <v>23777216</v>
      </c>
      <c r="S23" s="501">
        <f t="shared" si="76"/>
        <v>55317123</v>
      </c>
      <c r="T23" s="501">
        <f t="shared" si="76"/>
        <v>63513653</v>
      </c>
      <c r="U23" s="501">
        <f t="shared" si="76"/>
        <v>55317123</v>
      </c>
      <c r="V23" s="501">
        <f t="shared" si="76"/>
        <v>51796214</v>
      </c>
      <c r="W23" s="501">
        <f t="shared" si="76"/>
        <v>48837507</v>
      </c>
      <c r="X23" s="501">
        <f t="shared" si="76"/>
        <v>87717368</v>
      </c>
      <c r="Y23" s="501">
        <f t="shared" si="76"/>
        <v>94045408</v>
      </c>
      <c r="Z23" s="501">
        <f t="shared" si="76"/>
        <v>87717368</v>
      </c>
      <c r="AA23" s="501">
        <f t="shared" si="76"/>
        <v>75223709</v>
      </c>
      <c r="AB23" s="501">
        <f t="shared" si="76"/>
        <v>72614723</v>
      </c>
      <c r="AC23" s="501">
        <f t="shared" si="76"/>
        <v>93546542</v>
      </c>
      <c r="AD23" s="501">
        <f t="shared" si="76"/>
        <v>99702657</v>
      </c>
      <c r="AE23" s="501">
        <f t="shared" si="76"/>
        <v>98099958</v>
      </c>
      <c r="AF23" s="501">
        <f t="shared" si="76"/>
        <v>93546542</v>
      </c>
      <c r="AG23" s="501">
        <f t="shared" si="76"/>
        <v>79973794</v>
      </c>
      <c r="AH23" s="501">
        <f t="shared" si="76"/>
        <v>77502948</v>
      </c>
      <c r="AI23" s="524" t="s">
        <v>416</v>
      </c>
      <c r="AJ23" s="525" t="s">
        <v>244</v>
      </c>
      <c r="AK23" s="525"/>
      <c r="AL23" s="525"/>
      <c r="AM23" s="526" t="s">
        <v>441</v>
      </c>
    </row>
    <row r="24" spans="2:39" ht="13.5" customHeight="1" x14ac:dyDescent="0.25">
      <c r="B24" s="715" t="s">
        <v>442</v>
      </c>
      <c r="C24" s="527" t="s">
        <v>76</v>
      </c>
      <c r="D24" s="510">
        <v>214292</v>
      </c>
      <c r="E24" s="828">
        <v>225615</v>
      </c>
      <c r="F24" s="512">
        <v>214292</v>
      </c>
      <c r="G24" s="842">
        <v>295142</v>
      </c>
      <c r="H24" s="513">
        <v>150118</v>
      </c>
      <c r="I24" s="510">
        <v>162690</v>
      </c>
      <c r="J24" s="511">
        <v>45768</v>
      </c>
      <c r="K24" s="512">
        <v>162690</v>
      </c>
      <c r="L24" s="512">
        <v>45818</v>
      </c>
      <c r="M24" s="513">
        <v>47196</v>
      </c>
      <c r="N24" s="510">
        <v>5853273</v>
      </c>
      <c r="O24" s="511">
        <v>3250182</v>
      </c>
      <c r="P24" s="512">
        <v>5853273</v>
      </c>
      <c r="Q24" s="512">
        <v>2761160</v>
      </c>
      <c r="R24" s="513">
        <v>1910497</v>
      </c>
      <c r="S24" s="510">
        <v>0</v>
      </c>
      <c r="T24" s="511">
        <v>0</v>
      </c>
      <c r="U24" s="512">
        <v>0</v>
      </c>
      <c r="V24" s="512">
        <v>0</v>
      </c>
      <c r="W24" s="513">
        <v>0</v>
      </c>
      <c r="X24" s="510">
        <f t="shared" ref="X24:AA30" si="77">+N24+S24</f>
        <v>5853273</v>
      </c>
      <c r="Y24" s="512">
        <f t="shared" si="77"/>
        <v>3250182</v>
      </c>
      <c r="Z24" s="512">
        <f t="shared" si="77"/>
        <v>5853273</v>
      </c>
      <c r="AA24" s="512">
        <f t="shared" si="77"/>
        <v>2761160</v>
      </c>
      <c r="AB24" s="513">
        <f t="shared" ref="AB24:AB31" si="78">+R24+W24</f>
        <v>1910497</v>
      </c>
      <c r="AC24" s="510">
        <f t="shared" si="35"/>
        <v>6230255</v>
      </c>
      <c r="AD24" s="512">
        <v>6050255</v>
      </c>
      <c r="AE24" s="512">
        <f t="shared" ref="AE24:AG30" si="79">+E24+J24+Y24</f>
        <v>3521565</v>
      </c>
      <c r="AF24" s="512">
        <f t="shared" si="79"/>
        <v>6230255</v>
      </c>
      <c r="AG24" s="512">
        <f t="shared" si="79"/>
        <v>3102120</v>
      </c>
      <c r="AH24" s="513">
        <f t="shared" ref="AH24:AH31" si="80">+H24+M24+AB24</f>
        <v>2107811</v>
      </c>
      <c r="AI24" s="514" t="s">
        <v>416</v>
      </c>
      <c r="AJ24" s="515" t="s">
        <v>244</v>
      </c>
      <c r="AK24" s="515" t="s">
        <v>434</v>
      </c>
      <c r="AL24" s="515" t="s">
        <v>420</v>
      </c>
      <c r="AM24" s="516" t="s">
        <v>421</v>
      </c>
    </row>
    <row r="25" spans="2:39" ht="13.5" customHeight="1" x14ac:dyDescent="0.25">
      <c r="B25" s="715" t="s">
        <v>443</v>
      </c>
      <c r="C25" s="527" t="s">
        <v>444</v>
      </c>
      <c r="D25" s="510">
        <v>350918</v>
      </c>
      <c r="E25" s="828">
        <v>180204</v>
      </c>
      <c r="F25" s="512">
        <v>350918</v>
      </c>
      <c r="G25" s="842">
        <v>287528</v>
      </c>
      <c r="H25" s="513">
        <v>303204</v>
      </c>
      <c r="I25" s="510">
        <v>178584</v>
      </c>
      <c r="J25" s="511">
        <v>79395</v>
      </c>
      <c r="K25" s="512">
        <v>178584</v>
      </c>
      <c r="L25" s="512">
        <v>79395</v>
      </c>
      <c r="M25" s="513">
        <v>81784</v>
      </c>
      <c r="N25" s="510">
        <v>3061929</v>
      </c>
      <c r="O25" s="511">
        <v>6282556</v>
      </c>
      <c r="P25" s="512">
        <v>3061929</v>
      </c>
      <c r="Q25" s="512">
        <v>2106880</v>
      </c>
      <c r="R25" s="513">
        <v>2291320</v>
      </c>
      <c r="S25" s="517">
        <v>2705581</v>
      </c>
      <c r="T25" s="511">
        <v>4820081</v>
      </c>
      <c r="U25" s="518">
        <v>2705581</v>
      </c>
      <c r="V25" s="512">
        <v>2145530</v>
      </c>
      <c r="W25" s="519">
        <v>2819620</v>
      </c>
      <c r="X25" s="510">
        <f t="shared" si="77"/>
        <v>5767510</v>
      </c>
      <c r="Y25" s="512">
        <f t="shared" si="77"/>
        <v>11102637</v>
      </c>
      <c r="Z25" s="512">
        <f t="shared" si="77"/>
        <v>5767510</v>
      </c>
      <c r="AA25" s="512">
        <f t="shared" si="77"/>
        <v>4252410</v>
      </c>
      <c r="AB25" s="513">
        <f t="shared" si="78"/>
        <v>5110940</v>
      </c>
      <c r="AC25" s="510">
        <f t="shared" si="35"/>
        <v>6297012</v>
      </c>
      <c r="AD25" s="512">
        <v>7162127</v>
      </c>
      <c r="AE25" s="512">
        <f t="shared" si="79"/>
        <v>11362236</v>
      </c>
      <c r="AF25" s="512">
        <f t="shared" si="79"/>
        <v>6297012</v>
      </c>
      <c r="AG25" s="512">
        <f t="shared" si="79"/>
        <v>4619333</v>
      </c>
      <c r="AH25" s="513">
        <f t="shared" si="80"/>
        <v>5495928</v>
      </c>
      <c r="AI25" s="514" t="s">
        <v>416</v>
      </c>
      <c r="AJ25" s="515" t="s">
        <v>244</v>
      </c>
      <c r="AK25" s="515" t="s">
        <v>419</v>
      </c>
      <c r="AL25" s="515" t="s">
        <v>420</v>
      </c>
      <c r="AM25" s="516" t="s">
        <v>445</v>
      </c>
    </row>
    <row r="26" spans="2:39" ht="13.5" customHeight="1" x14ac:dyDescent="0.25">
      <c r="B26" s="715" t="s">
        <v>446</v>
      </c>
      <c r="C26" s="527" t="s">
        <v>15</v>
      </c>
      <c r="D26" s="510">
        <v>96392</v>
      </c>
      <c r="E26" s="828">
        <v>43227</v>
      </c>
      <c r="F26" s="512">
        <v>96392</v>
      </c>
      <c r="G26" s="842">
        <v>475930</v>
      </c>
      <c r="H26" s="513">
        <v>336910</v>
      </c>
      <c r="I26" s="510">
        <v>250709</v>
      </c>
      <c r="J26" s="511">
        <v>163156</v>
      </c>
      <c r="K26" s="512">
        <v>250709</v>
      </c>
      <c r="L26" s="512">
        <v>163156</v>
      </c>
      <c r="M26" s="513">
        <v>168066</v>
      </c>
      <c r="N26" s="510">
        <v>4360857</v>
      </c>
      <c r="O26" s="511">
        <v>5631645</v>
      </c>
      <c r="P26" s="512">
        <v>4360857</v>
      </c>
      <c r="Q26" s="512">
        <v>3338546</v>
      </c>
      <c r="R26" s="513">
        <v>3423335</v>
      </c>
      <c r="S26" s="517">
        <v>6875154</v>
      </c>
      <c r="T26" s="511">
        <v>21035678</v>
      </c>
      <c r="U26" s="518">
        <v>6875154</v>
      </c>
      <c r="V26" s="512">
        <v>4054203</v>
      </c>
      <c r="W26" s="519">
        <v>2931054</v>
      </c>
      <c r="X26" s="510">
        <f t="shared" si="77"/>
        <v>11236011</v>
      </c>
      <c r="Y26" s="512">
        <f t="shared" si="77"/>
        <v>26667323</v>
      </c>
      <c r="Z26" s="512">
        <f t="shared" si="77"/>
        <v>11236011</v>
      </c>
      <c r="AA26" s="512">
        <f t="shared" si="77"/>
        <v>7392749</v>
      </c>
      <c r="AB26" s="513">
        <f t="shared" si="78"/>
        <v>6354389</v>
      </c>
      <c r="AC26" s="510">
        <f t="shared" si="35"/>
        <v>11583112</v>
      </c>
      <c r="AD26" s="512">
        <v>18439112</v>
      </c>
      <c r="AE26" s="512">
        <f t="shared" si="79"/>
        <v>26873706</v>
      </c>
      <c r="AF26" s="512">
        <f t="shared" si="79"/>
        <v>11583112</v>
      </c>
      <c r="AG26" s="512">
        <f t="shared" si="79"/>
        <v>8031835</v>
      </c>
      <c r="AH26" s="513">
        <f t="shared" si="80"/>
        <v>6859365</v>
      </c>
      <c r="AI26" s="514" t="s">
        <v>426</v>
      </c>
      <c r="AJ26" s="515" t="s">
        <v>244</v>
      </c>
      <c r="AK26" s="515" t="s">
        <v>419</v>
      </c>
      <c r="AL26" s="515" t="s">
        <v>420</v>
      </c>
      <c r="AM26" s="516" t="s">
        <v>447</v>
      </c>
    </row>
    <row r="27" spans="2:39" ht="13.5" customHeight="1" x14ac:dyDescent="0.25">
      <c r="B27" s="715" t="s">
        <v>448</v>
      </c>
      <c r="C27" s="527" t="s">
        <v>37</v>
      </c>
      <c r="D27" s="510">
        <v>2637654</v>
      </c>
      <c r="E27" s="828">
        <v>1917754</v>
      </c>
      <c r="F27" s="512">
        <v>2637654</v>
      </c>
      <c r="G27" s="842">
        <v>1284795</v>
      </c>
      <c r="H27" s="513">
        <v>1150586</v>
      </c>
      <c r="I27" s="510">
        <v>72034</v>
      </c>
      <c r="J27" s="511">
        <v>349497</v>
      </c>
      <c r="K27" s="512">
        <v>72034</v>
      </c>
      <c r="L27" s="512">
        <v>71040</v>
      </c>
      <c r="M27" s="513">
        <v>73128</v>
      </c>
      <c r="N27" s="510">
        <v>2324026</v>
      </c>
      <c r="O27" s="511">
        <v>1321662</v>
      </c>
      <c r="P27" s="512">
        <v>2324026</v>
      </c>
      <c r="Q27" s="512">
        <v>2155836</v>
      </c>
      <c r="R27" s="513">
        <v>1922858</v>
      </c>
      <c r="S27" s="517">
        <v>20115875</v>
      </c>
      <c r="T27" s="511">
        <v>14264552</v>
      </c>
      <c r="U27" s="518">
        <v>20115875</v>
      </c>
      <c r="V27" s="512">
        <v>20391423</v>
      </c>
      <c r="W27" s="519">
        <v>14518862</v>
      </c>
      <c r="X27" s="510">
        <f t="shared" si="77"/>
        <v>22439901</v>
      </c>
      <c r="Y27" s="512">
        <f t="shared" si="77"/>
        <v>15586214</v>
      </c>
      <c r="Z27" s="512">
        <f t="shared" si="77"/>
        <v>22439901</v>
      </c>
      <c r="AA27" s="512">
        <f t="shared" si="77"/>
        <v>22547259</v>
      </c>
      <c r="AB27" s="513">
        <f t="shared" si="78"/>
        <v>16441720</v>
      </c>
      <c r="AC27" s="510">
        <f t="shared" si="35"/>
        <v>25149589</v>
      </c>
      <c r="AD27" s="512">
        <v>21864589</v>
      </c>
      <c r="AE27" s="512">
        <f t="shared" si="79"/>
        <v>17853465</v>
      </c>
      <c r="AF27" s="512">
        <f t="shared" si="79"/>
        <v>25149589</v>
      </c>
      <c r="AG27" s="512">
        <f t="shared" si="79"/>
        <v>23903094</v>
      </c>
      <c r="AH27" s="513">
        <f t="shared" si="80"/>
        <v>17665434</v>
      </c>
      <c r="AI27" s="514" t="s">
        <v>416</v>
      </c>
      <c r="AJ27" s="515" t="s">
        <v>244</v>
      </c>
      <c r="AK27" s="515" t="s">
        <v>419</v>
      </c>
      <c r="AL27" s="515" t="s">
        <v>420</v>
      </c>
      <c r="AM27" s="516" t="s">
        <v>438</v>
      </c>
    </row>
    <row r="28" spans="2:39" ht="13.5" customHeight="1" x14ac:dyDescent="0.25">
      <c r="B28" s="715" t="s">
        <v>449</v>
      </c>
      <c r="C28" s="527" t="s">
        <v>450</v>
      </c>
      <c r="D28" s="510">
        <v>157800</v>
      </c>
      <c r="E28" s="828">
        <v>67584</v>
      </c>
      <c r="F28" s="512">
        <v>157800</v>
      </c>
      <c r="G28" s="842">
        <v>90369</v>
      </c>
      <c r="H28" s="513">
        <v>61897</v>
      </c>
      <c r="I28" s="510">
        <v>153106</v>
      </c>
      <c r="J28" s="511">
        <v>50</v>
      </c>
      <c r="K28" s="512">
        <v>153106</v>
      </c>
      <c r="L28" s="512">
        <v>0</v>
      </c>
      <c r="M28" s="513">
        <v>0</v>
      </c>
      <c r="N28" s="510">
        <v>958619</v>
      </c>
      <c r="O28" s="511">
        <v>514182</v>
      </c>
      <c r="P28" s="512">
        <v>958619</v>
      </c>
      <c r="Q28" s="512">
        <v>365130</v>
      </c>
      <c r="R28" s="513">
        <v>345408</v>
      </c>
      <c r="S28" s="517">
        <v>0</v>
      </c>
      <c r="T28" s="511">
        <v>0</v>
      </c>
      <c r="U28" s="518">
        <v>0</v>
      </c>
      <c r="V28" s="512"/>
      <c r="W28" s="519">
        <v>0</v>
      </c>
      <c r="X28" s="510">
        <f t="shared" si="77"/>
        <v>958619</v>
      </c>
      <c r="Y28" s="512">
        <f t="shared" si="77"/>
        <v>514182</v>
      </c>
      <c r="Z28" s="512">
        <f t="shared" si="77"/>
        <v>958619</v>
      </c>
      <c r="AA28" s="512">
        <f t="shared" si="77"/>
        <v>365130</v>
      </c>
      <c r="AB28" s="513">
        <f t="shared" si="78"/>
        <v>345408</v>
      </c>
      <c r="AC28" s="510">
        <f t="shared" si="35"/>
        <v>1269525</v>
      </c>
      <c r="AD28" s="512">
        <v>1269525</v>
      </c>
      <c r="AE28" s="512">
        <f t="shared" si="79"/>
        <v>581816</v>
      </c>
      <c r="AF28" s="512">
        <f t="shared" si="79"/>
        <v>1269525</v>
      </c>
      <c r="AG28" s="512">
        <f t="shared" si="79"/>
        <v>455499</v>
      </c>
      <c r="AH28" s="513">
        <f t="shared" si="80"/>
        <v>407305</v>
      </c>
      <c r="AI28" s="514" t="s">
        <v>416</v>
      </c>
      <c r="AJ28" s="515" t="s">
        <v>244</v>
      </c>
      <c r="AK28" s="515" t="s">
        <v>434</v>
      </c>
      <c r="AL28" s="515" t="s">
        <v>420</v>
      </c>
      <c r="AM28" s="516" t="s">
        <v>451</v>
      </c>
    </row>
    <row r="29" spans="2:39" ht="13.5" customHeight="1" x14ac:dyDescent="0.25">
      <c r="B29" s="715" t="s">
        <v>452</v>
      </c>
      <c r="C29" s="527" t="s">
        <v>12</v>
      </c>
      <c r="D29" s="510">
        <v>906082</v>
      </c>
      <c r="E29" s="828">
        <v>610890</v>
      </c>
      <c r="F29" s="512">
        <v>906082</v>
      </c>
      <c r="G29" s="842">
        <v>1463850</v>
      </c>
      <c r="H29" s="513">
        <v>1386284</v>
      </c>
      <c r="I29" s="510">
        <v>105951</v>
      </c>
      <c r="J29" s="511">
        <v>204783</v>
      </c>
      <c r="K29" s="512">
        <v>105951</v>
      </c>
      <c r="L29" s="512">
        <v>94560</v>
      </c>
      <c r="M29" s="513">
        <v>97405</v>
      </c>
      <c r="N29" s="510">
        <v>12650226</v>
      </c>
      <c r="O29" s="511">
        <v>10832484</v>
      </c>
      <c r="P29" s="512">
        <v>12650226</v>
      </c>
      <c r="Q29" s="512">
        <v>9777851</v>
      </c>
      <c r="R29" s="513">
        <v>10061777</v>
      </c>
      <c r="S29" s="517">
        <v>20425676</v>
      </c>
      <c r="T29" s="511">
        <v>20344614</v>
      </c>
      <c r="U29" s="518">
        <v>20425676</v>
      </c>
      <c r="V29" s="512">
        <v>20257644</v>
      </c>
      <c r="W29" s="519">
        <v>15742397</v>
      </c>
      <c r="X29" s="510">
        <f t="shared" si="77"/>
        <v>33075902</v>
      </c>
      <c r="Y29" s="512">
        <f t="shared" si="77"/>
        <v>31177098</v>
      </c>
      <c r="Z29" s="512">
        <f t="shared" si="77"/>
        <v>33075902</v>
      </c>
      <c r="AA29" s="512">
        <f t="shared" si="77"/>
        <v>30035495</v>
      </c>
      <c r="AB29" s="513">
        <f t="shared" si="78"/>
        <v>25804174</v>
      </c>
      <c r="AC29" s="510">
        <f t="shared" si="35"/>
        <v>34087935</v>
      </c>
      <c r="AD29" s="512">
        <v>35987935</v>
      </c>
      <c r="AE29" s="512">
        <f t="shared" si="79"/>
        <v>31992771</v>
      </c>
      <c r="AF29" s="512">
        <f t="shared" si="79"/>
        <v>34087935</v>
      </c>
      <c r="AG29" s="512">
        <f t="shared" si="79"/>
        <v>31593905</v>
      </c>
      <c r="AH29" s="513">
        <f t="shared" si="80"/>
        <v>27287863</v>
      </c>
      <c r="AI29" s="514" t="s">
        <v>416</v>
      </c>
      <c r="AJ29" s="515" t="s">
        <v>244</v>
      </c>
      <c r="AK29" s="515" t="s">
        <v>419</v>
      </c>
      <c r="AL29" s="515" t="s">
        <v>420</v>
      </c>
      <c r="AM29" s="516" t="s">
        <v>432</v>
      </c>
    </row>
    <row r="30" spans="2:39" ht="13.5" customHeight="1" x14ac:dyDescent="0.25">
      <c r="B30" s="715" t="s">
        <v>453</v>
      </c>
      <c r="C30" s="527" t="s">
        <v>454</v>
      </c>
      <c r="D30" s="510">
        <v>401068</v>
      </c>
      <c r="E30" s="828">
        <v>130955</v>
      </c>
      <c r="F30" s="512">
        <v>401068</v>
      </c>
      <c r="G30" s="842">
        <v>377239</v>
      </c>
      <c r="H30" s="513">
        <v>431142</v>
      </c>
      <c r="I30" s="510">
        <v>101050</v>
      </c>
      <c r="J30" s="511">
        <v>19442</v>
      </c>
      <c r="K30" s="512">
        <v>101050</v>
      </c>
      <c r="L30" s="512">
        <v>19442</v>
      </c>
      <c r="M30" s="513">
        <v>20027</v>
      </c>
      <c r="N30" s="510">
        <v>3042273</v>
      </c>
      <c r="O30" s="511">
        <v>2699044</v>
      </c>
      <c r="P30" s="512">
        <v>3042273</v>
      </c>
      <c r="Q30" s="512">
        <v>2914247</v>
      </c>
      <c r="R30" s="513">
        <v>2871722</v>
      </c>
      <c r="S30" s="517">
        <v>5194837</v>
      </c>
      <c r="T30" s="511">
        <v>3048728</v>
      </c>
      <c r="U30" s="518">
        <v>5194837</v>
      </c>
      <c r="V30" s="512">
        <v>4947414</v>
      </c>
      <c r="W30" s="519">
        <v>5129124</v>
      </c>
      <c r="X30" s="510">
        <f t="shared" si="77"/>
        <v>8237110</v>
      </c>
      <c r="Y30" s="512">
        <f t="shared" si="77"/>
        <v>5747772</v>
      </c>
      <c r="Z30" s="512">
        <f t="shared" si="77"/>
        <v>8237110</v>
      </c>
      <c r="AA30" s="512">
        <f t="shared" si="77"/>
        <v>7861661</v>
      </c>
      <c r="AB30" s="513">
        <f t="shared" si="78"/>
        <v>8000846</v>
      </c>
      <c r="AC30" s="510">
        <f t="shared" si="35"/>
        <v>8739228</v>
      </c>
      <c r="AD30" s="512">
        <v>8739228</v>
      </c>
      <c r="AE30" s="512">
        <f t="shared" si="79"/>
        <v>5898169</v>
      </c>
      <c r="AF30" s="512">
        <f t="shared" si="79"/>
        <v>8739228</v>
      </c>
      <c r="AG30" s="512">
        <f t="shared" si="79"/>
        <v>8258342</v>
      </c>
      <c r="AH30" s="513">
        <f t="shared" si="80"/>
        <v>8452015</v>
      </c>
      <c r="AI30" s="514" t="s">
        <v>416</v>
      </c>
      <c r="AJ30" s="515" t="s">
        <v>244</v>
      </c>
      <c r="AK30" s="515" t="s">
        <v>419</v>
      </c>
      <c r="AL30" s="515" t="s">
        <v>420</v>
      </c>
      <c r="AM30" s="516" t="s">
        <v>435</v>
      </c>
    </row>
    <row r="31" spans="2:39" ht="13.5" customHeight="1" x14ac:dyDescent="0.25">
      <c r="B31" s="715" t="s">
        <v>455</v>
      </c>
      <c r="C31" s="520" t="s">
        <v>20</v>
      </c>
      <c r="D31" s="521">
        <v>0</v>
      </c>
      <c r="E31" s="828">
        <v>0</v>
      </c>
      <c r="F31" s="512">
        <v>0</v>
      </c>
      <c r="G31" s="842"/>
      <c r="H31" s="513">
        <v>514399</v>
      </c>
      <c r="I31" s="521">
        <v>0</v>
      </c>
      <c r="J31" s="511">
        <v>0</v>
      </c>
      <c r="K31" s="512">
        <v>0</v>
      </c>
      <c r="L31" s="512"/>
      <c r="M31" s="513">
        <v>66079</v>
      </c>
      <c r="N31" s="521">
        <v>0</v>
      </c>
      <c r="O31" s="511">
        <v>0</v>
      </c>
      <c r="P31" s="512">
        <v>0</v>
      </c>
      <c r="Q31" s="512"/>
      <c r="R31" s="513">
        <v>950299</v>
      </c>
      <c r="S31" s="521">
        <v>0</v>
      </c>
      <c r="T31" s="511">
        <v>0</v>
      </c>
      <c r="U31" s="518">
        <v>0</v>
      </c>
      <c r="V31" s="512"/>
      <c r="W31" s="519">
        <v>7696450</v>
      </c>
      <c r="X31" s="510">
        <f>+N31+S31</f>
        <v>0</v>
      </c>
      <c r="Y31" s="512">
        <v>0</v>
      </c>
      <c r="Z31" s="512">
        <f>+P31+U31</f>
        <v>0</v>
      </c>
      <c r="AA31" s="512">
        <f>+Q31+V31</f>
        <v>0</v>
      </c>
      <c r="AB31" s="513">
        <f t="shared" si="78"/>
        <v>8646749</v>
      </c>
      <c r="AC31" s="510">
        <f t="shared" si="35"/>
        <v>0</v>
      </c>
      <c r="AD31" s="512">
        <v>0</v>
      </c>
      <c r="AE31" s="512">
        <v>0</v>
      </c>
      <c r="AF31" s="512">
        <v>0</v>
      </c>
      <c r="AG31" s="512">
        <v>0</v>
      </c>
      <c r="AH31" s="513">
        <f t="shared" si="80"/>
        <v>9227227</v>
      </c>
      <c r="AI31" s="514" t="s">
        <v>426</v>
      </c>
      <c r="AJ31" s="515" t="s">
        <v>244</v>
      </c>
      <c r="AK31" s="515" t="s">
        <v>419</v>
      </c>
      <c r="AL31" s="515" t="s">
        <v>437</v>
      </c>
      <c r="AM31" s="515" t="s">
        <v>456</v>
      </c>
    </row>
    <row r="32" spans="2:39" ht="13.5" customHeight="1" x14ac:dyDescent="0.25">
      <c r="B32" s="725" t="s">
        <v>515</v>
      </c>
      <c r="C32" s="724" t="s">
        <v>84</v>
      </c>
      <c r="D32" s="510">
        <v>39051</v>
      </c>
      <c r="E32" s="830">
        <v>16230</v>
      </c>
      <c r="F32" s="512">
        <v>39051</v>
      </c>
      <c r="G32" s="842">
        <v>1821</v>
      </c>
      <c r="H32" s="513">
        <v>0</v>
      </c>
      <c r="I32" s="521">
        <v>1793</v>
      </c>
      <c r="J32" s="512">
        <v>0</v>
      </c>
      <c r="K32" s="512">
        <v>1793</v>
      </c>
      <c r="L32" s="512"/>
      <c r="M32" s="513">
        <v>0</v>
      </c>
      <c r="N32" s="510">
        <v>149042</v>
      </c>
      <c r="O32" s="726">
        <v>0</v>
      </c>
      <c r="P32" s="512">
        <v>149042</v>
      </c>
      <c r="Q32" s="512">
        <v>7845</v>
      </c>
      <c r="R32" s="513">
        <v>0</v>
      </c>
      <c r="S32" s="510">
        <v>0</v>
      </c>
      <c r="T32" s="512">
        <v>0</v>
      </c>
      <c r="U32" s="512">
        <v>0</v>
      </c>
      <c r="V32" s="512"/>
      <c r="W32" s="513">
        <v>0</v>
      </c>
      <c r="X32" s="510">
        <f>+N32+S32</f>
        <v>149042</v>
      </c>
      <c r="Y32" s="512">
        <f>+O32+T32</f>
        <v>0</v>
      </c>
      <c r="Z32" s="512">
        <f>+P32+U32</f>
        <v>149042</v>
      </c>
      <c r="AA32" s="512">
        <f>+Q32+V32</f>
        <v>7845</v>
      </c>
      <c r="AB32" s="513">
        <f>+R32+W32</f>
        <v>0</v>
      </c>
      <c r="AC32" s="510">
        <f>+D32+I32+X32</f>
        <v>189886</v>
      </c>
      <c r="AD32" s="512">
        <v>189886</v>
      </c>
      <c r="AE32" s="512">
        <f>+E32+J32+Y32</f>
        <v>16230</v>
      </c>
      <c r="AF32" s="512">
        <f>+F32+K32+Z32</f>
        <v>189886</v>
      </c>
      <c r="AG32" s="512">
        <f>+G32+L32+AA32</f>
        <v>9666</v>
      </c>
      <c r="AH32" s="513">
        <f>+H32+M32+AB32</f>
        <v>0</v>
      </c>
      <c r="AI32" s="514" t="s">
        <v>516</v>
      </c>
      <c r="AJ32" s="515" t="s">
        <v>267</v>
      </c>
      <c r="AK32" s="515" t="s">
        <v>434</v>
      </c>
      <c r="AL32" s="515" t="s">
        <v>431</v>
      </c>
      <c r="AM32" s="516" t="s">
        <v>517</v>
      </c>
    </row>
    <row r="33" spans="2:39" ht="13.5" customHeight="1" x14ac:dyDescent="0.3">
      <c r="B33" s="536" t="s">
        <v>630</v>
      </c>
      <c r="C33" s="523" t="s">
        <v>557</v>
      </c>
      <c r="D33" s="501">
        <f>SUM(D34:D42)</f>
        <v>3712497</v>
      </c>
      <c r="E33" s="827">
        <f t="shared" ref="E33:AH33" si="81">SUM(E34:E42)</f>
        <v>1905791</v>
      </c>
      <c r="F33" s="501">
        <f t="shared" si="81"/>
        <v>3712497</v>
      </c>
      <c r="G33" s="827">
        <f t="shared" si="81"/>
        <v>1134997</v>
      </c>
      <c r="H33" s="501">
        <f t="shared" si="81"/>
        <v>720642</v>
      </c>
      <c r="I33" s="501">
        <f t="shared" si="81"/>
        <v>441254</v>
      </c>
      <c r="J33" s="501">
        <f t="shared" si="81"/>
        <v>788647</v>
      </c>
      <c r="K33" s="501">
        <f t="shared" si="81"/>
        <v>441254</v>
      </c>
      <c r="L33" s="501">
        <f t="shared" si="81"/>
        <v>432301</v>
      </c>
      <c r="M33" s="501">
        <f t="shared" si="81"/>
        <v>108431</v>
      </c>
      <c r="N33" s="501">
        <f t="shared" si="81"/>
        <v>6816517</v>
      </c>
      <c r="O33" s="501">
        <f t="shared" si="81"/>
        <v>5331546</v>
      </c>
      <c r="P33" s="501">
        <f t="shared" si="81"/>
        <v>6816517</v>
      </c>
      <c r="Q33" s="501">
        <f t="shared" si="81"/>
        <v>3572518</v>
      </c>
      <c r="R33" s="501">
        <f t="shared" si="81"/>
        <v>4004724</v>
      </c>
      <c r="S33" s="501">
        <f t="shared" si="81"/>
        <v>6315151</v>
      </c>
      <c r="T33" s="501">
        <f t="shared" si="81"/>
        <v>1963929.92</v>
      </c>
      <c r="U33" s="501">
        <f t="shared" si="81"/>
        <v>6315151</v>
      </c>
      <c r="V33" s="501">
        <f t="shared" si="81"/>
        <v>3014765</v>
      </c>
      <c r="W33" s="501">
        <f t="shared" si="81"/>
        <v>1892045.2</v>
      </c>
      <c r="X33" s="501">
        <f t="shared" si="81"/>
        <v>13131668</v>
      </c>
      <c r="Y33" s="501">
        <f t="shared" si="81"/>
        <v>7295475.9199999999</v>
      </c>
      <c r="Z33" s="501">
        <f t="shared" si="81"/>
        <v>13131668</v>
      </c>
      <c r="AA33" s="501">
        <f t="shared" si="81"/>
        <v>6587283</v>
      </c>
      <c r="AB33" s="501">
        <f t="shared" si="81"/>
        <v>5896769.2000000002</v>
      </c>
      <c r="AC33" s="501">
        <f t="shared" si="81"/>
        <v>17285419</v>
      </c>
      <c r="AD33" s="501">
        <f t="shared" si="81"/>
        <v>17285419</v>
      </c>
      <c r="AE33" s="501">
        <f t="shared" si="81"/>
        <v>9989913.9199999999</v>
      </c>
      <c r="AF33" s="501">
        <f t="shared" si="81"/>
        <v>17285419</v>
      </c>
      <c r="AG33" s="501">
        <f t="shared" si="81"/>
        <v>8154581</v>
      </c>
      <c r="AH33" s="501">
        <f t="shared" si="81"/>
        <v>6725842.2000000002</v>
      </c>
      <c r="AI33" s="524"/>
      <c r="AJ33" s="525"/>
      <c r="AK33" s="535"/>
      <c r="AL33" s="535"/>
      <c r="AM33" s="526"/>
    </row>
    <row r="34" spans="2:39" ht="13.5" customHeight="1" x14ac:dyDescent="0.3">
      <c r="B34" s="721" t="s">
        <v>558</v>
      </c>
      <c r="C34" s="527" t="s">
        <v>23</v>
      </c>
      <c r="D34" s="510">
        <v>96612</v>
      </c>
      <c r="E34" s="829">
        <v>75523</v>
      </c>
      <c r="F34" s="518">
        <v>96612</v>
      </c>
      <c r="G34" s="829">
        <v>37677</v>
      </c>
      <c r="H34" s="519">
        <v>0</v>
      </c>
      <c r="I34" s="510">
        <v>2450</v>
      </c>
      <c r="J34" s="518">
        <v>116647</v>
      </c>
      <c r="K34" s="518">
        <v>2450</v>
      </c>
      <c r="L34" s="518">
        <v>2400</v>
      </c>
      <c r="M34" s="519">
        <v>0</v>
      </c>
      <c r="N34" s="510">
        <v>140994</v>
      </c>
      <c r="O34" s="518">
        <v>76972</v>
      </c>
      <c r="P34" s="518">
        <v>140994</v>
      </c>
      <c r="Q34" s="518">
        <v>106043</v>
      </c>
      <c r="R34" s="519">
        <v>0</v>
      </c>
      <c r="S34" s="510">
        <v>0</v>
      </c>
      <c r="T34" s="518">
        <v>0</v>
      </c>
      <c r="U34" s="518">
        <v>0</v>
      </c>
      <c r="V34" s="518"/>
      <c r="W34" s="519">
        <v>0</v>
      </c>
      <c r="X34" s="510">
        <f t="shared" ref="X34:X42" si="82">+N34+S34</f>
        <v>140994</v>
      </c>
      <c r="Y34" s="512">
        <f t="shared" ref="Y34:Y42" si="83">+O34+T34</f>
        <v>76972</v>
      </c>
      <c r="Z34" s="512">
        <f t="shared" ref="Z34:AA42" si="84">+P34+U34</f>
        <v>140994</v>
      </c>
      <c r="AA34" s="512">
        <f t="shared" si="84"/>
        <v>106043</v>
      </c>
      <c r="AB34" s="513">
        <f t="shared" ref="AB34:AB41" si="85">+R34+W34</f>
        <v>0</v>
      </c>
      <c r="AC34" s="510">
        <f t="shared" ref="AC34:AC41" si="86">+D34+I34+X34</f>
        <v>240056</v>
      </c>
      <c r="AD34" s="512">
        <v>240056</v>
      </c>
      <c r="AE34" s="512">
        <f t="shared" ref="AE34:AE42" si="87">+E34+J34+Y34</f>
        <v>269142</v>
      </c>
      <c r="AF34" s="512">
        <f t="shared" ref="AF34:AG42" si="88">+F34+K34+Z34</f>
        <v>240056</v>
      </c>
      <c r="AG34" s="512">
        <f t="shared" si="88"/>
        <v>146120</v>
      </c>
      <c r="AH34" s="513">
        <f t="shared" ref="AH34:AH41" si="89">+H34+M34+AB34</f>
        <v>0</v>
      </c>
      <c r="AI34" s="538" t="s">
        <v>516</v>
      </c>
      <c r="AJ34" s="539" t="s">
        <v>244</v>
      </c>
      <c r="AK34" s="539" t="s">
        <v>434</v>
      </c>
      <c r="AL34" s="539" t="s">
        <v>431</v>
      </c>
      <c r="AM34" s="540" t="s">
        <v>559</v>
      </c>
    </row>
    <row r="35" spans="2:39" ht="13.5" customHeight="1" x14ac:dyDescent="0.3">
      <c r="B35" s="721" t="s">
        <v>560</v>
      </c>
      <c r="C35" s="527" t="s">
        <v>24</v>
      </c>
      <c r="D35" s="510">
        <v>288595</v>
      </c>
      <c r="E35" s="829">
        <v>294112</v>
      </c>
      <c r="F35" s="518">
        <v>288595</v>
      </c>
      <c r="G35" s="829">
        <v>174927</v>
      </c>
      <c r="H35" s="519">
        <v>155317</v>
      </c>
      <c r="I35" s="510">
        <v>24497</v>
      </c>
      <c r="J35" s="518">
        <v>99394</v>
      </c>
      <c r="K35" s="518">
        <v>24497</v>
      </c>
      <c r="L35" s="518">
        <v>24000</v>
      </c>
      <c r="M35" s="519">
        <v>24722</v>
      </c>
      <c r="N35" s="510">
        <v>644909</v>
      </c>
      <c r="O35" s="518">
        <v>863364</v>
      </c>
      <c r="P35" s="518">
        <v>644909</v>
      </c>
      <c r="Q35" s="518">
        <v>497069</v>
      </c>
      <c r="R35" s="519">
        <v>528740</v>
      </c>
      <c r="S35" s="510">
        <v>809330</v>
      </c>
      <c r="T35" s="518">
        <v>295648</v>
      </c>
      <c r="U35" s="518">
        <v>809330</v>
      </c>
      <c r="V35" s="518">
        <v>419286</v>
      </c>
      <c r="W35" s="519">
        <v>266848</v>
      </c>
      <c r="X35" s="510">
        <f t="shared" si="82"/>
        <v>1454239</v>
      </c>
      <c r="Y35" s="512">
        <f t="shared" si="83"/>
        <v>1159012</v>
      </c>
      <c r="Z35" s="512">
        <f t="shared" si="84"/>
        <v>1454239</v>
      </c>
      <c r="AA35" s="512">
        <f t="shared" si="84"/>
        <v>916355</v>
      </c>
      <c r="AB35" s="513">
        <f t="shared" si="85"/>
        <v>795588</v>
      </c>
      <c r="AC35" s="510">
        <f t="shared" si="86"/>
        <v>1767331</v>
      </c>
      <c r="AD35" s="512">
        <v>2633394</v>
      </c>
      <c r="AE35" s="512">
        <f t="shared" si="87"/>
        <v>1552518</v>
      </c>
      <c r="AF35" s="512">
        <f t="shared" si="88"/>
        <v>1767331</v>
      </c>
      <c r="AG35" s="512">
        <f t="shared" si="88"/>
        <v>1115282</v>
      </c>
      <c r="AH35" s="513">
        <f t="shared" si="89"/>
        <v>975627</v>
      </c>
      <c r="AI35" s="538" t="s">
        <v>516</v>
      </c>
      <c r="AJ35" s="539" t="s">
        <v>244</v>
      </c>
      <c r="AK35" s="539" t="s">
        <v>419</v>
      </c>
      <c r="AL35" s="539" t="s">
        <v>420</v>
      </c>
      <c r="AM35" s="540" t="s">
        <v>559</v>
      </c>
    </row>
    <row r="36" spans="2:39" ht="13.5" customHeight="1" x14ac:dyDescent="0.3">
      <c r="B36" s="721" t="s">
        <v>561</v>
      </c>
      <c r="C36" s="527" t="s">
        <v>25</v>
      </c>
      <c r="D36" s="510">
        <v>345161</v>
      </c>
      <c r="E36" s="829">
        <v>328558</v>
      </c>
      <c r="F36" s="518">
        <v>345161</v>
      </c>
      <c r="G36" s="829">
        <v>170877</v>
      </c>
      <c r="H36" s="519">
        <v>128317</v>
      </c>
      <c r="I36" s="510">
        <v>30621</v>
      </c>
      <c r="J36" s="518">
        <v>212648</v>
      </c>
      <c r="K36" s="518">
        <v>30621</v>
      </c>
      <c r="L36" s="518">
        <v>30000</v>
      </c>
      <c r="M36" s="519">
        <v>30902</v>
      </c>
      <c r="N36" s="510">
        <v>1293417</v>
      </c>
      <c r="O36" s="518">
        <v>1105448</v>
      </c>
      <c r="P36" s="518">
        <v>1293417</v>
      </c>
      <c r="Q36" s="518">
        <v>486841</v>
      </c>
      <c r="R36" s="519">
        <v>530561</v>
      </c>
      <c r="S36" s="510">
        <v>671462</v>
      </c>
      <c r="T36" s="518">
        <v>450154</v>
      </c>
      <c r="U36" s="518">
        <v>671462</v>
      </c>
      <c r="V36" s="518">
        <v>457029</v>
      </c>
      <c r="W36" s="519">
        <v>267946</v>
      </c>
      <c r="X36" s="510">
        <f t="shared" si="82"/>
        <v>1964879</v>
      </c>
      <c r="Y36" s="512">
        <f t="shared" si="83"/>
        <v>1555602</v>
      </c>
      <c r="Z36" s="512">
        <f t="shared" si="84"/>
        <v>1964879</v>
      </c>
      <c r="AA36" s="512">
        <f t="shared" si="84"/>
        <v>943870</v>
      </c>
      <c r="AB36" s="513">
        <f t="shared" si="85"/>
        <v>798507</v>
      </c>
      <c r="AC36" s="510">
        <f t="shared" si="86"/>
        <v>2340661</v>
      </c>
      <c r="AD36" s="512">
        <v>2340661</v>
      </c>
      <c r="AE36" s="512">
        <f t="shared" si="87"/>
        <v>2096808</v>
      </c>
      <c r="AF36" s="512">
        <f t="shared" si="88"/>
        <v>2340661</v>
      </c>
      <c r="AG36" s="512">
        <f t="shared" si="88"/>
        <v>1144747</v>
      </c>
      <c r="AH36" s="513">
        <f t="shared" si="89"/>
        <v>957726</v>
      </c>
      <c r="AI36" s="538" t="s">
        <v>516</v>
      </c>
      <c r="AJ36" s="539" t="s">
        <v>244</v>
      </c>
      <c r="AK36" s="539" t="s">
        <v>419</v>
      </c>
      <c r="AL36" s="539" t="s">
        <v>420</v>
      </c>
      <c r="AM36" s="540" t="s">
        <v>559</v>
      </c>
    </row>
    <row r="37" spans="2:39" ht="13.5" customHeight="1" x14ac:dyDescent="0.3">
      <c r="B37" s="721" t="s">
        <v>562</v>
      </c>
      <c r="C37" s="527" t="s">
        <v>26</v>
      </c>
      <c r="D37" s="510">
        <v>284140</v>
      </c>
      <c r="E37" s="829">
        <v>306734</v>
      </c>
      <c r="F37" s="518">
        <v>284140</v>
      </c>
      <c r="G37" s="829">
        <v>175414</v>
      </c>
      <c r="H37" s="519">
        <v>147060</v>
      </c>
      <c r="I37" s="510">
        <v>13473</v>
      </c>
      <c r="J37" s="518">
        <v>195858</v>
      </c>
      <c r="K37" s="518">
        <v>13473</v>
      </c>
      <c r="L37" s="518">
        <v>13200</v>
      </c>
      <c r="M37" s="519">
        <v>13597</v>
      </c>
      <c r="N37" s="510">
        <v>1253300</v>
      </c>
      <c r="O37" s="518">
        <v>670680</v>
      </c>
      <c r="P37" s="518">
        <v>1253300</v>
      </c>
      <c r="Q37" s="518">
        <v>163748</v>
      </c>
      <c r="R37" s="519">
        <v>714733</v>
      </c>
      <c r="S37" s="510">
        <v>684537</v>
      </c>
      <c r="T37" s="518">
        <v>735207</v>
      </c>
      <c r="U37" s="518">
        <v>684537</v>
      </c>
      <c r="V37" s="518">
        <v>634351</v>
      </c>
      <c r="W37" s="519">
        <v>320842</v>
      </c>
      <c r="X37" s="510">
        <f t="shared" si="82"/>
        <v>1937837</v>
      </c>
      <c r="Y37" s="512">
        <f t="shared" si="83"/>
        <v>1405887</v>
      </c>
      <c r="Z37" s="512">
        <f t="shared" si="84"/>
        <v>1937837</v>
      </c>
      <c r="AA37" s="512">
        <f t="shared" si="84"/>
        <v>798099</v>
      </c>
      <c r="AB37" s="513">
        <f t="shared" si="85"/>
        <v>1035575</v>
      </c>
      <c r="AC37" s="510">
        <f t="shared" si="86"/>
        <v>2235450</v>
      </c>
      <c r="AD37" s="512">
        <v>2235450</v>
      </c>
      <c r="AE37" s="512">
        <f t="shared" si="87"/>
        <v>1908479</v>
      </c>
      <c r="AF37" s="512">
        <f t="shared" si="88"/>
        <v>2235450</v>
      </c>
      <c r="AG37" s="512">
        <f t="shared" si="88"/>
        <v>986713</v>
      </c>
      <c r="AH37" s="513">
        <f t="shared" si="89"/>
        <v>1196232</v>
      </c>
      <c r="AI37" s="538" t="s">
        <v>516</v>
      </c>
      <c r="AJ37" s="539" t="s">
        <v>244</v>
      </c>
      <c r="AK37" s="539" t="s">
        <v>419</v>
      </c>
      <c r="AL37" s="539" t="s">
        <v>420</v>
      </c>
      <c r="AM37" s="540" t="s">
        <v>559</v>
      </c>
    </row>
    <row r="38" spans="2:39" ht="13.5" customHeight="1" x14ac:dyDescent="0.3">
      <c r="B38" s="721" t="s">
        <v>563</v>
      </c>
      <c r="C38" s="527" t="s">
        <v>33</v>
      </c>
      <c r="D38" s="510">
        <v>1152149</v>
      </c>
      <c r="E38" s="829">
        <v>233996</v>
      </c>
      <c r="F38" s="518">
        <v>1152149</v>
      </c>
      <c r="G38" s="829">
        <v>144782</v>
      </c>
      <c r="H38" s="519">
        <v>0</v>
      </c>
      <c r="I38" s="510">
        <v>193935</v>
      </c>
      <c r="J38" s="518">
        <v>0</v>
      </c>
      <c r="K38" s="518">
        <v>193935</v>
      </c>
      <c r="L38" s="518">
        <v>190000</v>
      </c>
      <c r="M38" s="519">
        <v>0</v>
      </c>
      <c r="N38" s="510">
        <v>875206</v>
      </c>
      <c r="O38" s="518">
        <v>348270</v>
      </c>
      <c r="P38" s="518">
        <v>875206</v>
      </c>
      <c r="Q38" s="518">
        <v>369820</v>
      </c>
      <c r="R38" s="519">
        <v>0</v>
      </c>
      <c r="S38" s="510">
        <v>612764</v>
      </c>
      <c r="T38" s="518">
        <v>306616</v>
      </c>
      <c r="U38" s="518">
        <v>612764</v>
      </c>
      <c r="V38" s="518">
        <v>125143</v>
      </c>
      <c r="W38" s="519">
        <v>0</v>
      </c>
      <c r="X38" s="510">
        <f t="shared" si="82"/>
        <v>1487970</v>
      </c>
      <c r="Y38" s="512">
        <f t="shared" si="83"/>
        <v>654886</v>
      </c>
      <c r="Z38" s="512">
        <f t="shared" si="84"/>
        <v>1487970</v>
      </c>
      <c r="AA38" s="512">
        <f t="shared" si="84"/>
        <v>494963</v>
      </c>
      <c r="AB38" s="513">
        <f t="shared" si="85"/>
        <v>0</v>
      </c>
      <c r="AC38" s="510">
        <f t="shared" si="86"/>
        <v>2834054</v>
      </c>
      <c r="AD38" s="512">
        <v>1967991</v>
      </c>
      <c r="AE38" s="512">
        <f t="shared" si="87"/>
        <v>888882</v>
      </c>
      <c r="AF38" s="512">
        <f t="shared" si="88"/>
        <v>2834054</v>
      </c>
      <c r="AG38" s="512">
        <f t="shared" si="88"/>
        <v>829745</v>
      </c>
      <c r="AH38" s="513">
        <f t="shared" si="89"/>
        <v>0</v>
      </c>
      <c r="AI38" s="538" t="s">
        <v>516</v>
      </c>
      <c r="AJ38" s="539" t="s">
        <v>244</v>
      </c>
      <c r="AK38" s="539" t="s">
        <v>419</v>
      </c>
      <c r="AL38" s="539" t="s">
        <v>431</v>
      </c>
      <c r="AM38" s="540" t="s">
        <v>559</v>
      </c>
    </row>
    <row r="39" spans="2:39" ht="13.5" customHeight="1" x14ac:dyDescent="0.3">
      <c r="B39" s="721" t="s">
        <v>564</v>
      </c>
      <c r="C39" s="527" t="s">
        <v>34</v>
      </c>
      <c r="D39" s="510">
        <v>596885</v>
      </c>
      <c r="E39" s="829">
        <v>185348</v>
      </c>
      <c r="F39" s="518">
        <v>596885</v>
      </c>
      <c r="G39" s="829">
        <v>139040</v>
      </c>
      <c r="H39" s="519">
        <v>0</v>
      </c>
      <c r="I39" s="510">
        <v>81862</v>
      </c>
      <c r="J39" s="518">
        <v>0</v>
      </c>
      <c r="K39" s="518">
        <v>81862</v>
      </c>
      <c r="L39" s="518">
        <v>80201</v>
      </c>
      <c r="M39" s="519">
        <v>0</v>
      </c>
      <c r="N39" s="510">
        <v>463572</v>
      </c>
      <c r="O39" s="518">
        <v>395532</v>
      </c>
      <c r="P39" s="518">
        <v>463572</v>
      </c>
      <c r="Q39" s="518">
        <v>310547</v>
      </c>
      <c r="R39" s="519">
        <v>0</v>
      </c>
      <c r="S39" s="510">
        <v>1544778</v>
      </c>
      <c r="T39" s="518">
        <v>0</v>
      </c>
      <c r="U39" s="518">
        <v>1544778</v>
      </c>
      <c r="V39" s="518">
        <v>394357</v>
      </c>
      <c r="W39" s="519">
        <v>0</v>
      </c>
      <c r="X39" s="510">
        <f t="shared" si="82"/>
        <v>2008350</v>
      </c>
      <c r="Y39" s="512">
        <f t="shared" si="83"/>
        <v>395532</v>
      </c>
      <c r="Z39" s="512">
        <f t="shared" si="84"/>
        <v>2008350</v>
      </c>
      <c r="AA39" s="512">
        <f t="shared" si="84"/>
        <v>704904</v>
      </c>
      <c r="AB39" s="513">
        <f t="shared" si="85"/>
        <v>0</v>
      </c>
      <c r="AC39" s="510">
        <f t="shared" si="86"/>
        <v>2687097</v>
      </c>
      <c r="AD39" s="512">
        <v>2687097</v>
      </c>
      <c r="AE39" s="512">
        <f t="shared" si="87"/>
        <v>580880</v>
      </c>
      <c r="AF39" s="512">
        <f t="shared" si="88"/>
        <v>2687097</v>
      </c>
      <c r="AG39" s="512">
        <f t="shared" si="88"/>
        <v>924145</v>
      </c>
      <c r="AH39" s="513">
        <f t="shared" si="89"/>
        <v>0</v>
      </c>
      <c r="AI39" s="538" t="s">
        <v>516</v>
      </c>
      <c r="AJ39" s="539" t="s">
        <v>244</v>
      </c>
      <c r="AK39" s="539" t="s">
        <v>419</v>
      </c>
      <c r="AL39" s="539" t="s">
        <v>431</v>
      </c>
      <c r="AM39" s="540" t="s">
        <v>559</v>
      </c>
    </row>
    <row r="40" spans="2:39" ht="13.5" customHeight="1" x14ac:dyDescent="0.3">
      <c r="B40" s="721" t="s">
        <v>565</v>
      </c>
      <c r="C40" s="527" t="s">
        <v>566</v>
      </c>
      <c r="D40" s="510">
        <v>0</v>
      </c>
      <c r="E40" s="829">
        <v>78599</v>
      </c>
      <c r="F40" s="518">
        <v>0</v>
      </c>
      <c r="G40" s="829">
        <v>0</v>
      </c>
      <c r="H40" s="519">
        <v>0</v>
      </c>
      <c r="I40" s="510">
        <v>0</v>
      </c>
      <c r="J40" s="518">
        <v>-33</v>
      </c>
      <c r="K40" s="518">
        <v>0</v>
      </c>
      <c r="L40" s="518">
        <v>0</v>
      </c>
      <c r="M40" s="519">
        <v>0</v>
      </c>
      <c r="N40" s="510">
        <v>0</v>
      </c>
      <c r="O40" s="518">
        <v>7282</v>
      </c>
      <c r="P40" s="518">
        <v>0</v>
      </c>
      <c r="Q40" s="518">
        <v>0</v>
      </c>
      <c r="R40" s="519">
        <v>0</v>
      </c>
      <c r="S40" s="510">
        <v>0</v>
      </c>
      <c r="T40" s="518">
        <v>101815.92</v>
      </c>
      <c r="U40" s="518">
        <v>0</v>
      </c>
      <c r="V40" s="518">
        <v>0</v>
      </c>
      <c r="W40" s="519">
        <v>0</v>
      </c>
      <c r="X40" s="510">
        <f t="shared" si="82"/>
        <v>0</v>
      </c>
      <c r="Y40" s="512">
        <f t="shared" si="83"/>
        <v>109097.92</v>
      </c>
      <c r="Z40" s="512">
        <f t="shared" si="84"/>
        <v>0</v>
      </c>
      <c r="AA40" s="512">
        <f t="shared" si="84"/>
        <v>0</v>
      </c>
      <c r="AB40" s="513">
        <f t="shared" si="85"/>
        <v>0</v>
      </c>
      <c r="AC40" s="510">
        <f t="shared" si="86"/>
        <v>0</v>
      </c>
      <c r="AD40" s="512">
        <v>0</v>
      </c>
      <c r="AE40" s="512">
        <f t="shared" si="87"/>
        <v>187663.91999999998</v>
      </c>
      <c r="AF40" s="512">
        <f t="shared" si="88"/>
        <v>0</v>
      </c>
      <c r="AG40" s="512">
        <f t="shared" si="88"/>
        <v>0</v>
      </c>
      <c r="AH40" s="513">
        <f t="shared" si="89"/>
        <v>0</v>
      </c>
      <c r="AI40" s="538" t="s">
        <v>516</v>
      </c>
      <c r="AJ40" s="539" t="s">
        <v>244</v>
      </c>
      <c r="AK40" s="539" t="s">
        <v>419</v>
      </c>
      <c r="AL40" s="539" t="s">
        <v>431</v>
      </c>
      <c r="AM40" s="540" t="s">
        <v>559</v>
      </c>
    </row>
    <row r="41" spans="2:39" ht="13.5" customHeight="1" x14ac:dyDescent="0.3">
      <c r="B41" s="721" t="s">
        <v>568</v>
      </c>
      <c r="C41" s="527" t="s">
        <v>36</v>
      </c>
      <c r="D41" s="510">
        <v>176529</v>
      </c>
      <c r="E41" s="829">
        <v>90384</v>
      </c>
      <c r="F41" s="518">
        <v>176529</v>
      </c>
      <c r="G41" s="829">
        <v>73062</v>
      </c>
      <c r="H41" s="519">
        <v>162462</v>
      </c>
      <c r="I41" s="510">
        <v>12759</v>
      </c>
      <c r="J41" s="518">
        <v>0</v>
      </c>
      <c r="K41" s="518">
        <v>12759</v>
      </c>
      <c r="L41" s="518">
        <v>12500</v>
      </c>
      <c r="M41" s="519">
        <v>12876</v>
      </c>
      <c r="N41" s="510">
        <v>606028</v>
      </c>
      <c r="O41" s="518">
        <v>410732</v>
      </c>
      <c r="P41" s="518">
        <v>606028</v>
      </c>
      <c r="Q41" s="518">
        <v>313618</v>
      </c>
      <c r="R41" s="519">
        <v>619924</v>
      </c>
      <c r="S41" s="510">
        <v>190800</v>
      </c>
      <c r="T41" s="518">
        <v>74489</v>
      </c>
      <c r="U41" s="518">
        <v>190800</v>
      </c>
      <c r="V41" s="518">
        <v>354376</v>
      </c>
      <c r="W41" s="519">
        <v>547019</v>
      </c>
      <c r="X41" s="510">
        <f t="shared" si="82"/>
        <v>796828</v>
      </c>
      <c r="Y41" s="512">
        <f t="shared" si="83"/>
        <v>485221</v>
      </c>
      <c r="Z41" s="512">
        <f t="shared" si="84"/>
        <v>796828</v>
      </c>
      <c r="AA41" s="512">
        <f t="shared" si="84"/>
        <v>667994</v>
      </c>
      <c r="AB41" s="513">
        <f t="shared" si="85"/>
        <v>1166943</v>
      </c>
      <c r="AC41" s="510">
        <f t="shared" si="86"/>
        <v>986116</v>
      </c>
      <c r="AD41" s="512">
        <v>986116</v>
      </c>
      <c r="AE41" s="512">
        <f t="shared" si="87"/>
        <v>575605</v>
      </c>
      <c r="AF41" s="512">
        <f t="shared" si="88"/>
        <v>986116</v>
      </c>
      <c r="AG41" s="512">
        <f t="shared" si="88"/>
        <v>753556</v>
      </c>
      <c r="AH41" s="513">
        <f t="shared" si="89"/>
        <v>1342281</v>
      </c>
      <c r="AI41" s="538" t="s">
        <v>516</v>
      </c>
      <c r="AJ41" s="539" t="s">
        <v>244</v>
      </c>
      <c r="AK41" s="539" t="s">
        <v>419</v>
      </c>
      <c r="AL41" s="539" t="s">
        <v>420</v>
      </c>
      <c r="AM41" s="540" t="s">
        <v>559</v>
      </c>
    </row>
    <row r="42" spans="2:39" ht="13.5" customHeight="1" x14ac:dyDescent="0.3">
      <c r="B42" s="721" t="s">
        <v>582</v>
      </c>
      <c r="C42" s="527" t="s">
        <v>218</v>
      </c>
      <c r="D42" s="510">
        <v>772426</v>
      </c>
      <c r="E42" s="829">
        <v>312537</v>
      </c>
      <c r="F42" s="518">
        <v>772426</v>
      </c>
      <c r="G42" s="829">
        <v>219218</v>
      </c>
      <c r="H42" s="519">
        <v>127486</v>
      </c>
      <c r="I42" s="510">
        <v>81657</v>
      </c>
      <c r="J42" s="518">
        <v>164133</v>
      </c>
      <c r="K42" s="518">
        <v>81657</v>
      </c>
      <c r="L42" s="518">
        <v>80000</v>
      </c>
      <c r="M42" s="519">
        <v>26334</v>
      </c>
      <c r="N42" s="510">
        <v>1539091</v>
      </c>
      <c r="O42" s="518">
        <v>1453266</v>
      </c>
      <c r="P42" s="518">
        <v>1539091</v>
      </c>
      <c r="Q42" s="518">
        <v>1324832</v>
      </c>
      <c r="R42" s="519">
        <v>1610766</v>
      </c>
      <c r="S42" s="510">
        <v>1801480</v>
      </c>
      <c r="T42" s="518">
        <v>0</v>
      </c>
      <c r="U42" s="518">
        <v>1801480</v>
      </c>
      <c r="V42" s="518">
        <v>630223</v>
      </c>
      <c r="W42" s="519">
        <v>489390.2</v>
      </c>
      <c r="X42" s="510">
        <f t="shared" si="82"/>
        <v>3340571</v>
      </c>
      <c r="Y42" s="512">
        <f t="shared" si="83"/>
        <v>1453266</v>
      </c>
      <c r="Z42" s="512">
        <f t="shared" si="84"/>
        <v>3340571</v>
      </c>
      <c r="AA42" s="512">
        <f t="shared" si="84"/>
        <v>1955055</v>
      </c>
      <c r="AB42" s="513">
        <f>+R42+W42</f>
        <v>2100156.2000000002</v>
      </c>
      <c r="AC42" s="510">
        <f>+D42+I42+X42</f>
        <v>4194654</v>
      </c>
      <c r="AD42" s="512">
        <v>4194654</v>
      </c>
      <c r="AE42" s="512">
        <f t="shared" si="87"/>
        <v>1929936</v>
      </c>
      <c r="AF42" s="512">
        <f t="shared" si="88"/>
        <v>4194654</v>
      </c>
      <c r="AG42" s="512">
        <f t="shared" si="88"/>
        <v>2254273</v>
      </c>
      <c r="AH42" s="513">
        <f>+H42+M42+AB42</f>
        <v>2253976.2000000002</v>
      </c>
      <c r="AI42" s="538" t="s">
        <v>516</v>
      </c>
      <c r="AJ42" s="539" t="s">
        <v>474</v>
      </c>
      <c r="AK42" s="539" t="s">
        <v>419</v>
      </c>
      <c r="AL42" s="539" t="s">
        <v>420</v>
      </c>
      <c r="AM42" s="540" t="s">
        <v>583</v>
      </c>
    </row>
    <row r="43" spans="2:39" ht="13.5" customHeight="1" x14ac:dyDescent="0.3">
      <c r="B43" s="522" t="s">
        <v>457</v>
      </c>
      <c r="C43" s="523" t="s">
        <v>458</v>
      </c>
      <c r="D43" s="501">
        <f>SUM(D44:D47)</f>
        <v>539440</v>
      </c>
      <c r="E43" s="827">
        <f t="shared" ref="E43:AH43" si="90">SUM(E44:E47)</f>
        <v>265916</v>
      </c>
      <c r="F43" s="501">
        <f t="shared" si="90"/>
        <v>539440</v>
      </c>
      <c r="G43" s="827">
        <f t="shared" si="90"/>
        <v>409566</v>
      </c>
      <c r="H43" s="501">
        <f t="shared" si="90"/>
        <v>354278</v>
      </c>
      <c r="I43" s="501">
        <f t="shared" si="90"/>
        <v>398734</v>
      </c>
      <c r="J43" s="501">
        <f t="shared" si="90"/>
        <v>128100</v>
      </c>
      <c r="K43" s="501">
        <f t="shared" si="90"/>
        <v>398734</v>
      </c>
      <c r="L43" s="501">
        <f t="shared" si="90"/>
        <v>44439</v>
      </c>
      <c r="M43" s="501">
        <f t="shared" si="90"/>
        <v>45775</v>
      </c>
      <c r="N43" s="501">
        <f t="shared" si="90"/>
        <v>5902261</v>
      </c>
      <c r="O43" s="501">
        <f t="shared" si="90"/>
        <v>4149696</v>
      </c>
      <c r="P43" s="501">
        <f t="shared" si="90"/>
        <v>5902261</v>
      </c>
      <c r="Q43" s="501">
        <f t="shared" si="90"/>
        <v>3840931</v>
      </c>
      <c r="R43" s="501">
        <f t="shared" si="90"/>
        <v>3810161</v>
      </c>
      <c r="S43" s="501">
        <f t="shared" si="90"/>
        <v>1608652</v>
      </c>
      <c r="T43" s="501">
        <f t="shared" si="90"/>
        <v>2454092.84</v>
      </c>
      <c r="U43" s="501">
        <f t="shared" si="90"/>
        <v>1608652</v>
      </c>
      <c r="V43" s="501">
        <f t="shared" si="90"/>
        <v>1319299</v>
      </c>
      <c r="W43" s="501">
        <f t="shared" si="90"/>
        <v>1492506</v>
      </c>
      <c r="X43" s="501">
        <f t="shared" si="90"/>
        <v>7510913</v>
      </c>
      <c r="Y43" s="501">
        <f t="shared" si="90"/>
        <v>6603788.8399999999</v>
      </c>
      <c r="Z43" s="501">
        <f t="shared" si="90"/>
        <v>7510913</v>
      </c>
      <c r="AA43" s="501">
        <f t="shared" si="90"/>
        <v>5160230</v>
      </c>
      <c r="AB43" s="501">
        <f t="shared" si="90"/>
        <v>5302667</v>
      </c>
      <c r="AC43" s="501">
        <f t="shared" si="90"/>
        <v>8449087</v>
      </c>
      <c r="AD43" s="501">
        <f t="shared" si="90"/>
        <v>7583972</v>
      </c>
      <c r="AE43" s="501">
        <f t="shared" si="90"/>
        <v>6997804.8399999999</v>
      </c>
      <c r="AF43" s="501">
        <f t="shared" si="90"/>
        <v>8449087</v>
      </c>
      <c r="AG43" s="501">
        <f t="shared" si="90"/>
        <v>5614235</v>
      </c>
      <c r="AH43" s="501">
        <f t="shared" si="90"/>
        <v>5702720</v>
      </c>
      <c r="AI43" s="524" t="s">
        <v>416</v>
      </c>
      <c r="AJ43" s="525" t="s">
        <v>267</v>
      </c>
      <c r="AK43" s="525"/>
      <c r="AL43" s="525"/>
      <c r="AM43" s="526" t="s">
        <v>459</v>
      </c>
    </row>
    <row r="44" spans="2:39" ht="13.5" customHeight="1" x14ac:dyDescent="0.25">
      <c r="B44" s="717" t="s">
        <v>460</v>
      </c>
      <c r="C44" s="509" t="s">
        <v>78</v>
      </c>
      <c r="D44" s="510">
        <v>109389</v>
      </c>
      <c r="E44" s="828">
        <v>67474</v>
      </c>
      <c r="F44" s="512">
        <v>109389</v>
      </c>
      <c r="G44" s="842">
        <v>93210</v>
      </c>
      <c r="H44" s="513">
        <v>61029</v>
      </c>
      <c r="I44" s="510">
        <v>147658</v>
      </c>
      <c r="J44" s="511">
        <v>269</v>
      </c>
      <c r="K44" s="512">
        <v>147658</v>
      </c>
      <c r="L44" s="512"/>
      <c r="M44" s="513">
        <v>0</v>
      </c>
      <c r="N44" s="510">
        <v>1537498</v>
      </c>
      <c r="O44" s="511">
        <v>791153</v>
      </c>
      <c r="P44" s="512">
        <v>1537498</v>
      </c>
      <c r="Q44" s="512">
        <v>684121</v>
      </c>
      <c r="R44" s="513">
        <v>709148</v>
      </c>
      <c r="S44" s="510">
        <v>0</v>
      </c>
      <c r="T44" s="511">
        <v>0</v>
      </c>
      <c r="U44" s="512">
        <v>0</v>
      </c>
      <c r="V44" s="512"/>
      <c r="W44" s="513">
        <v>0</v>
      </c>
      <c r="X44" s="510">
        <f t="shared" ref="X44:AA47" si="91">+N44+S44</f>
        <v>1537498</v>
      </c>
      <c r="Y44" s="512">
        <f t="shared" si="91"/>
        <v>791153</v>
      </c>
      <c r="Z44" s="512">
        <f t="shared" si="91"/>
        <v>1537498</v>
      </c>
      <c r="AA44" s="512">
        <f t="shared" si="91"/>
        <v>684121</v>
      </c>
      <c r="AB44" s="513">
        <f t="shared" ref="AB44:AB47" si="92">+R44+W44</f>
        <v>709148</v>
      </c>
      <c r="AC44" s="510">
        <f t="shared" si="35"/>
        <v>1794545</v>
      </c>
      <c r="AD44" s="512">
        <v>1794545</v>
      </c>
      <c r="AE44" s="512">
        <f t="shared" ref="AE44:AG47" si="93">+E44+J44+Y44</f>
        <v>858896</v>
      </c>
      <c r="AF44" s="512">
        <f t="shared" si="93"/>
        <v>1794545</v>
      </c>
      <c r="AG44" s="512">
        <f t="shared" si="93"/>
        <v>777331</v>
      </c>
      <c r="AH44" s="513">
        <f t="shared" ref="AH44:AH47" si="94">+H44+M44+AB44</f>
        <v>770177</v>
      </c>
      <c r="AI44" s="514" t="s">
        <v>416</v>
      </c>
      <c r="AJ44" s="515" t="s">
        <v>267</v>
      </c>
      <c r="AK44" s="515" t="s">
        <v>434</v>
      </c>
      <c r="AL44" s="515" t="s">
        <v>420</v>
      </c>
      <c r="AM44" s="516" t="s">
        <v>421</v>
      </c>
    </row>
    <row r="45" spans="2:39" ht="13.5" customHeight="1" x14ac:dyDescent="0.25">
      <c r="B45" s="717" t="s">
        <v>461</v>
      </c>
      <c r="C45" s="509" t="s">
        <v>16</v>
      </c>
      <c r="D45" s="510">
        <v>214663</v>
      </c>
      <c r="E45" s="828">
        <v>98476</v>
      </c>
      <c r="F45" s="512">
        <v>214663</v>
      </c>
      <c r="G45" s="842">
        <v>180498</v>
      </c>
      <c r="H45" s="513">
        <v>175727</v>
      </c>
      <c r="I45" s="510">
        <v>217393</v>
      </c>
      <c r="J45" s="511">
        <v>9468</v>
      </c>
      <c r="K45" s="512">
        <v>217393</v>
      </c>
      <c r="L45" s="512">
        <v>38670</v>
      </c>
      <c r="M45" s="513">
        <v>39833</v>
      </c>
      <c r="N45" s="510">
        <v>2617882</v>
      </c>
      <c r="O45" s="511">
        <v>1872639</v>
      </c>
      <c r="P45" s="512">
        <v>2617882</v>
      </c>
      <c r="Q45" s="512">
        <v>1839504</v>
      </c>
      <c r="R45" s="513">
        <v>1807944</v>
      </c>
      <c r="S45" s="510">
        <v>1162219</v>
      </c>
      <c r="T45" s="511">
        <f>1594085.19+380596.19+59366.46</f>
        <v>2034047.8399999999</v>
      </c>
      <c r="U45" s="512">
        <v>1162219</v>
      </c>
      <c r="V45" s="512">
        <v>1116347</v>
      </c>
      <c r="W45" s="513">
        <v>1314024</v>
      </c>
      <c r="X45" s="510">
        <f t="shared" si="91"/>
        <v>3780101</v>
      </c>
      <c r="Y45" s="512">
        <f t="shared" si="91"/>
        <v>3906686.84</v>
      </c>
      <c r="Z45" s="512">
        <f t="shared" si="91"/>
        <v>3780101</v>
      </c>
      <c r="AA45" s="512">
        <f t="shared" si="91"/>
        <v>2955851</v>
      </c>
      <c r="AB45" s="513">
        <f t="shared" si="92"/>
        <v>3121968</v>
      </c>
      <c r="AC45" s="510">
        <f t="shared" si="35"/>
        <v>4212157</v>
      </c>
      <c r="AD45" s="512">
        <v>3580333</v>
      </c>
      <c r="AE45" s="512">
        <f t="shared" si="93"/>
        <v>4014630.84</v>
      </c>
      <c r="AF45" s="512">
        <f t="shared" si="93"/>
        <v>4212157</v>
      </c>
      <c r="AG45" s="512">
        <f t="shared" si="93"/>
        <v>3175019</v>
      </c>
      <c r="AH45" s="513">
        <f t="shared" si="94"/>
        <v>3337528</v>
      </c>
      <c r="AI45" s="514" t="s">
        <v>416</v>
      </c>
      <c r="AJ45" s="515" t="s">
        <v>267</v>
      </c>
      <c r="AK45" s="515" t="s">
        <v>419</v>
      </c>
      <c r="AL45" s="515" t="s">
        <v>420</v>
      </c>
      <c r="AM45" s="516" t="s">
        <v>445</v>
      </c>
    </row>
    <row r="46" spans="2:39" ht="13.5" customHeight="1" x14ac:dyDescent="0.25">
      <c r="B46" s="717" t="s">
        <v>462</v>
      </c>
      <c r="C46" s="509" t="s">
        <v>17</v>
      </c>
      <c r="D46" s="510">
        <v>124482</v>
      </c>
      <c r="E46" s="828">
        <v>47413</v>
      </c>
      <c r="F46" s="512">
        <v>124482</v>
      </c>
      <c r="G46" s="842">
        <v>68792</v>
      </c>
      <c r="H46" s="513">
        <v>68208</v>
      </c>
      <c r="I46" s="510">
        <v>5614</v>
      </c>
      <c r="J46" s="511">
        <v>118363</v>
      </c>
      <c r="K46" s="512">
        <v>5614</v>
      </c>
      <c r="L46" s="512">
        <v>5769</v>
      </c>
      <c r="M46" s="513">
        <v>5942</v>
      </c>
      <c r="N46" s="510">
        <v>978744</v>
      </c>
      <c r="O46" s="511">
        <v>1174186</v>
      </c>
      <c r="P46" s="512">
        <v>978744</v>
      </c>
      <c r="Q46" s="512">
        <v>1009731</v>
      </c>
      <c r="R46" s="513">
        <v>998569</v>
      </c>
      <c r="S46" s="510">
        <v>446433</v>
      </c>
      <c r="T46" s="511">
        <v>420045</v>
      </c>
      <c r="U46" s="512">
        <v>446433</v>
      </c>
      <c r="V46" s="512">
        <v>202952</v>
      </c>
      <c r="W46" s="513">
        <v>178482</v>
      </c>
      <c r="X46" s="510">
        <f t="shared" si="91"/>
        <v>1425177</v>
      </c>
      <c r="Y46" s="512">
        <f t="shared" si="91"/>
        <v>1594231</v>
      </c>
      <c r="Z46" s="512">
        <f t="shared" si="91"/>
        <v>1425177</v>
      </c>
      <c r="AA46" s="512">
        <f t="shared" si="91"/>
        <v>1212683</v>
      </c>
      <c r="AB46" s="513">
        <f t="shared" si="92"/>
        <v>1177051</v>
      </c>
      <c r="AC46" s="510">
        <f t="shared" si="35"/>
        <v>1555273</v>
      </c>
      <c r="AD46" s="512">
        <v>1321982</v>
      </c>
      <c r="AE46" s="512">
        <f t="shared" si="93"/>
        <v>1760007</v>
      </c>
      <c r="AF46" s="512">
        <f t="shared" si="93"/>
        <v>1555273</v>
      </c>
      <c r="AG46" s="512">
        <f t="shared" si="93"/>
        <v>1287244</v>
      </c>
      <c r="AH46" s="513">
        <f t="shared" si="94"/>
        <v>1251201</v>
      </c>
      <c r="AI46" s="514" t="s">
        <v>426</v>
      </c>
      <c r="AJ46" s="515" t="s">
        <v>267</v>
      </c>
      <c r="AK46" s="515" t="s">
        <v>419</v>
      </c>
      <c r="AL46" s="515" t="s">
        <v>420</v>
      </c>
      <c r="AM46" s="516" t="s">
        <v>447</v>
      </c>
    </row>
    <row r="47" spans="2:39" ht="13.5" customHeight="1" x14ac:dyDescent="0.25">
      <c r="B47" s="717" t="s">
        <v>463</v>
      </c>
      <c r="C47" s="509" t="s">
        <v>79</v>
      </c>
      <c r="D47" s="510">
        <v>90906</v>
      </c>
      <c r="E47" s="828">
        <v>52553</v>
      </c>
      <c r="F47" s="512">
        <v>90906</v>
      </c>
      <c r="G47" s="842">
        <v>67066</v>
      </c>
      <c r="H47" s="513">
        <v>49314</v>
      </c>
      <c r="I47" s="510">
        <v>28069</v>
      </c>
      <c r="J47" s="511">
        <v>0</v>
      </c>
      <c r="K47" s="512">
        <v>28069</v>
      </c>
      <c r="L47" s="512"/>
      <c r="M47" s="513">
        <v>0</v>
      </c>
      <c r="N47" s="510">
        <v>768137</v>
      </c>
      <c r="O47" s="511">
        <v>311718</v>
      </c>
      <c r="P47" s="512">
        <v>768137</v>
      </c>
      <c r="Q47" s="512">
        <v>307575</v>
      </c>
      <c r="R47" s="513">
        <v>294500</v>
      </c>
      <c r="S47" s="510">
        <v>0</v>
      </c>
      <c r="T47" s="511">
        <v>0</v>
      </c>
      <c r="U47" s="512">
        <v>0</v>
      </c>
      <c r="V47" s="512"/>
      <c r="W47" s="513">
        <v>0</v>
      </c>
      <c r="X47" s="510">
        <f t="shared" si="91"/>
        <v>768137</v>
      </c>
      <c r="Y47" s="512">
        <f t="shared" si="91"/>
        <v>311718</v>
      </c>
      <c r="Z47" s="512">
        <f t="shared" si="91"/>
        <v>768137</v>
      </c>
      <c r="AA47" s="512">
        <f t="shared" si="91"/>
        <v>307575</v>
      </c>
      <c r="AB47" s="513">
        <f t="shared" si="92"/>
        <v>294500</v>
      </c>
      <c r="AC47" s="510">
        <f t="shared" si="35"/>
        <v>887112</v>
      </c>
      <c r="AD47" s="512">
        <v>887112</v>
      </c>
      <c r="AE47" s="512">
        <f t="shared" si="93"/>
        <v>364271</v>
      </c>
      <c r="AF47" s="512">
        <f t="shared" si="93"/>
        <v>887112</v>
      </c>
      <c r="AG47" s="512">
        <f t="shared" si="93"/>
        <v>374641</v>
      </c>
      <c r="AH47" s="513">
        <f t="shared" si="94"/>
        <v>343814</v>
      </c>
      <c r="AI47" s="514" t="s">
        <v>416</v>
      </c>
      <c r="AJ47" s="515" t="s">
        <v>267</v>
      </c>
      <c r="AK47" s="515" t="s">
        <v>434</v>
      </c>
      <c r="AL47" s="515" t="s">
        <v>420</v>
      </c>
      <c r="AM47" s="516" t="s">
        <v>451</v>
      </c>
    </row>
    <row r="48" spans="2:39" ht="13.5" customHeight="1" x14ac:dyDescent="0.3">
      <c r="B48" s="712" t="s">
        <v>630</v>
      </c>
      <c r="C48" s="523" t="s">
        <v>569</v>
      </c>
      <c r="D48" s="501">
        <f t="shared" ref="D48:AH48" si="95">SUM(D49:D56)</f>
        <v>3664229</v>
      </c>
      <c r="E48" s="827">
        <f t="shared" si="95"/>
        <v>1995366</v>
      </c>
      <c r="F48" s="501">
        <f t="shared" si="95"/>
        <v>3664229</v>
      </c>
      <c r="G48" s="827">
        <f t="shared" ref="G48" si="96">SUM(G49:G56)</f>
        <v>1400139</v>
      </c>
      <c r="H48" s="501">
        <f t="shared" si="95"/>
        <v>1540155</v>
      </c>
      <c r="I48" s="501">
        <f t="shared" si="95"/>
        <v>405426</v>
      </c>
      <c r="J48" s="501">
        <f t="shared" si="95"/>
        <v>805326</v>
      </c>
      <c r="K48" s="501">
        <f t="shared" si="95"/>
        <v>405426</v>
      </c>
      <c r="L48" s="501">
        <f t="shared" ref="L48" si="97">SUM(L49:L56)</f>
        <v>322268</v>
      </c>
      <c r="M48" s="501">
        <f t="shared" si="95"/>
        <v>304168</v>
      </c>
      <c r="N48" s="501">
        <f t="shared" si="95"/>
        <v>6342805</v>
      </c>
      <c r="O48" s="501">
        <f t="shared" si="95"/>
        <v>8512424</v>
      </c>
      <c r="P48" s="501">
        <f t="shared" si="95"/>
        <v>6342805</v>
      </c>
      <c r="Q48" s="501">
        <f t="shared" ref="Q48" si="98">SUM(Q49:Q56)</f>
        <v>6557487</v>
      </c>
      <c r="R48" s="501">
        <f t="shared" si="95"/>
        <v>8278658</v>
      </c>
      <c r="S48" s="501">
        <f t="shared" si="95"/>
        <v>9955874</v>
      </c>
      <c r="T48" s="501">
        <f t="shared" si="95"/>
        <v>7324016</v>
      </c>
      <c r="U48" s="501">
        <f t="shared" si="95"/>
        <v>9955874</v>
      </c>
      <c r="V48" s="501">
        <f t="shared" ref="V48" si="99">SUM(V49:V56)</f>
        <v>12132891</v>
      </c>
      <c r="W48" s="501">
        <f t="shared" si="95"/>
        <v>10027560</v>
      </c>
      <c r="X48" s="501">
        <f t="shared" si="95"/>
        <v>16298679</v>
      </c>
      <c r="Y48" s="501">
        <f t="shared" si="95"/>
        <v>15836440</v>
      </c>
      <c r="Z48" s="501">
        <f t="shared" si="95"/>
        <v>16298679</v>
      </c>
      <c r="AA48" s="501">
        <f t="shared" ref="AA48" si="100">SUM(AA49:AA56)</f>
        <v>18690378</v>
      </c>
      <c r="AB48" s="501">
        <f t="shared" si="95"/>
        <v>18306218</v>
      </c>
      <c r="AC48" s="501">
        <f t="shared" si="95"/>
        <v>20368334</v>
      </c>
      <c r="AD48" s="501">
        <f t="shared" si="95"/>
        <v>20368334</v>
      </c>
      <c r="AE48" s="501">
        <f t="shared" si="95"/>
        <v>18637132</v>
      </c>
      <c r="AF48" s="501">
        <f t="shared" si="95"/>
        <v>20368334</v>
      </c>
      <c r="AG48" s="501">
        <f t="shared" ref="AG48" si="101">SUM(AG49:AG56)</f>
        <v>20412785</v>
      </c>
      <c r="AH48" s="501">
        <f t="shared" si="95"/>
        <v>20150541</v>
      </c>
      <c r="AI48" s="524"/>
      <c r="AJ48" s="525"/>
      <c r="AK48" s="535"/>
      <c r="AL48" s="535"/>
      <c r="AM48" s="526"/>
    </row>
    <row r="49" spans="2:39" ht="13.5" customHeight="1" x14ac:dyDescent="0.3">
      <c r="B49" s="720" t="s">
        <v>570</v>
      </c>
      <c r="C49" s="527" t="s">
        <v>27</v>
      </c>
      <c r="D49" s="510">
        <v>830243</v>
      </c>
      <c r="E49" s="829">
        <v>324945</v>
      </c>
      <c r="F49" s="518">
        <v>830243</v>
      </c>
      <c r="G49" s="829">
        <v>236286</v>
      </c>
      <c r="H49" s="519">
        <v>258087</v>
      </c>
      <c r="I49" s="510">
        <v>85740</v>
      </c>
      <c r="J49" s="518">
        <v>19615</v>
      </c>
      <c r="K49" s="518">
        <v>85740</v>
      </c>
      <c r="L49" s="518">
        <v>14586</v>
      </c>
      <c r="M49" s="519">
        <v>15025</v>
      </c>
      <c r="N49" s="510">
        <v>1228662</v>
      </c>
      <c r="O49" s="518">
        <v>898634</v>
      </c>
      <c r="P49" s="518">
        <v>1228662</v>
      </c>
      <c r="Q49" s="518">
        <v>1780054</v>
      </c>
      <c r="R49" s="519">
        <v>1394886</v>
      </c>
      <c r="S49" s="510">
        <v>1845138</v>
      </c>
      <c r="T49" s="518">
        <v>265689</v>
      </c>
      <c r="U49" s="518">
        <v>1845138</v>
      </c>
      <c r="V49" s="518">
        <v>3904516</v>
      </c>
      <c r="W49" s="519">
        <v>1861598</v>
      </c>
      <c r="X49" s="510">
        <f t="shared" ref="X49:AA56" si="102">+N49+S49</f>
        <v>3073800</v>
      </c>
      <c r="Y49" s="512">
        <f t="shared" si="102"/>
        <v>1164323</v>
      </c>
      <c r="Z49" s="512">
        <f t="shared" si="102"/>
        <v>3073800</v>
      </c>
      <c r="AA49" s="512">
        <f t="shared" si="102"/>
        <v>5684570</v>
      </c>
      <c r="AB49" s="513">
        <f t="shared" ref="AB49:AB56" si="103">+R49+W49</f>
        <v>3256484</v>
      </c>
      <c r="AC49" s="510">
        <f t="shared" ref="AC49:AC56" si="104">+D49+I49+X49</f>
        <v>3989783</v>
      </c>
      <c r="AD49" s="512">
        <v>3989783</v>
      </c>
      <c r="AE49" s="512">
        <f t="shared" ref="AE49:AG56" si="105">+E49+J49+Y49</f>
        <v>1508883</v>
      </c>
      <c r="AF49" s="512">
        <f t="shared" si="105"/>
        <v>3989783</v>
      </c>
      <c r="AG49" s="512">
        <f t="shared" si="105"/>
        <v>5935442</v>
      </c>
      <c r="AH49" s="513">
        <f t="shared" ref="AH49:AH56" si="106">+H49+M49+AB49</f>
        <v>3529596</v>
      </c>
      <c r="AI49" s="538" t="s">
        <v>516</v>
      </c>
      <c r="AJ49" s="539" t="s">
        <v>267</v>
      </c>
      <c r="AK49" s="539" t="s">
        <v>419</v>
      </c>
      <c r="AL49" s="539" t="s">
        <v>420</v>
      </c>
      <c r="AM49" s="540" t="s">
        <v>517</v>
      </c>
    </row>
    <row r="50" spans="2:39" ht="13.5" customHeight="1" x14ac:dyDescent="0.3">
      <c r="B50" s="720" t="s">
        <v>571</v>
      </c>
      <c r="C50" s="527" t="s">
        <v>28</v>
      </c>
      <c r="D50" s="510">
        <v>833336</v>
      </c>
      <c r="E50" s="829">
        <v>399996</v>
      </c>
      <c r="F50" s="518">
        <v>833336</v>
      </c>
      <c r="G50" s="829">
        <v>277319</v>
      </c>
      <c r="H50" s="519">
        <v>440424</v>
      </c>
      <c r="I50" s="510">
        <v>85740</v>
      </c>
      <c r="J50" s="518">
        <v>88478</v>
      </c>
      <c r="K50" s="518">
        <v>85740</v>
      </c>
      <c r="L50" s="518">
        <v>84000</v>
      </c>
      <c r="M50" s="519">
        <v>86528</v>
      </c>
      <c r="N50" s="510">
        <v>1230777</v>
      </c>
      <c r="O50" s="518">
        <v>3617811</v>
      </c>
      <c r="P50" s="518">
        <v>1230777</v>
      </c>
      <c r="Q50" s="518">
        <v>1709681</v>
      </c>
      <c r="R50" s="519">
        <v>2815069</v>
      </c>
      <c r="S50" s="510">
        <v>1955138</v>
      </c>
      <c r="T50" s="518">
        <v>3760336</v>
      </c>
      <c r="U50" s="518">
        <v>1955138</v>
      </c>
      <c r="V50" s="518">
        <v>3668123</v>
      </c>
      <c r="W50" s="519">
        <v>3335516</v>
      </c>
      <c r="X50" s="510">
        <f t="shared" si="102"/>
        <v>3185915</v>
      </c>
      <c r="Y50" s="512">
        <f t="shared" si="102"/>
        <v>7378147</v>
      </c>
      <c r="Z50" s="512">
        <f t="shared" si="102"/>
        <v>3185915</v>
      </c>
      <c r="AA50" s="512">
        <f t="shared" si="102"/>
        <v>5377804</v>
      </c>
      <c r="AB50" s="513">
        <f t="shared" si="103"/>
        <v>6150585</v>
      </c>
      <c r="AC50" s="510">
        <f t="shared" si="104"/>
        <v>4104991</v>
      </c>
      <c r="AD50" s="512">
        <v>4104991</v>
      </c>
      <c r="AE50" s="512">
        <f t="shared" si="105"/>
        <v>7866621</v>
      </c>
      <c r="AF50" s="512">
        <f t="shared" si="105"/>
        <v>4104991</v>
      </c>
      <c r="AG50" s="512">
        <f t="shared" si="105"/>
        <v>5739123</v>
      </c>
      <c r="AH50" s="513">
        <f t="shared" si="106"/>
        <v>6677537</v>
      </c>
      <c r="AI50" s="538" t="s">
        <v>516</v>
      </c>
      <c r="AJ50" s="539" t="s">
        <v>267</v>
      </c>
      <c r="AK50" s="539" t="s">
        <v>419</v>
      </c>
      <c r="AL50" s="539" t="s">
        <v>420</v>
      </c>
      <c r="AM50" s="540" t="s">
        <v>517</v>
      </c>
    </row>
    <row r="51" spans="2:39" ht="13.5" customHeight="1" x14ac:dyDescent="0.3">
      <c r="B51" s="720" t="s">
        <v>572</v>
      </c>
      <c r="C51" s="527" t="s">
        <v>29</v>
      </c>
      <c r="D51" s="510">
        <v>698853</v>
      </c>
      <c r="E51" s="829">
        <v>237859</v>
      </c>
      <c r="F51" s="518">
        <v>698853</v>
      </c>
      <c r="G51" s="829">
        <v>297542</v>
      </c>
      <c r="H51" s="519">
        <v>263990</v>
      </c>
      <c r="I51" s="510">
        <v>81657</v>
      </c>
      <c r="J51" s="518">
        <v>59766</v>
      </c>
      <c r="K51" s="518">
        <v>81657</v>
      </c>
      <c r="L51" s="518">
        <v>80000</v>
      </c>
      <c r="M51" s="519">
        <v>82407</v>
      </c>
      <c r="N51" s="510">
        <v>1481651</v>
      </c>
      <c r="O51" s="518">
        <v>1336409</v>
      </c>
      <c r="P51" s="518">
        <v>1481651</v>
      </c>
      <c r="Q51" s="518">
        <v>1312617</v>
      </c>
      <c r="R51" s="519">
        <v>1070005</v>
      </c>
      <c r="S51" s="510">
        <v>2365808</v>
      </c>
      <c r="T51" s="518">
        <v>1041581</v>
      </c>
      <c r="U51" s="518">
        <v>2365808</v>
      </c>
      <c r="V51" s="518">
        <v>2037843</v>
      </c>
      <c r="W51" s="519">
        <v>1551749</v>
      </c>
      <c r="X51" s="510">
        <f t="shared" si="102"/>
        <v>3847459</v>
      </c>
      <c r="Y51" s="512">
        <f t="shared" si="102"/>
        <v>2377990</v>
      </c>
      <c r="Z51" s="512">
        <f t="shared" si="102"/>
        <v>3847459</v>
      </c>
      <c r="AA51" s="512">
        <f t="shared" si="102"/>
        <v>3350460</v>
      </c>
      <c r="AB51" s="513">
        <f t="shared" si="103"/>
        <v>2621754</v>
      </c>
      <c r="AC51" s="510">
        <f t="shared" si="104"/>
        <v>4627969</v>
      </c>
      <c r="AD51" s="512">
        <v>4627969</v>
      </c>
      <c r="AE51" s="512">
        <f t="shared" si="105"/>
        <v>2675615</v>
      </c>
      <c r="AF51" s="512">
        <f t="shared" si="105"/>
        <v>4627969</v>
      </c>
      <c r="AG51" s="512">
        <f t="shared" si="105"/>
        <v>3728002</v>
      </c>
      <c r="AH51" s="513">
        <f t="shared" si="106"/>
        <v>2968151</v>
      </c>
      <c r="AI51" s="538" t="s">
        <v>516</v>
      </c>
      <c r="AJ51" s="539" t="s">
        <v>267</v>
      </c>
      <c r="AK51" s="539" t="s">
        <v>419</v>
      </c>
      <c r="AL51" s="539" t="s">
        <v>420</v>
      </c>
      <c r="AM51" s="540" t="s">
        <v>517</v>
      </c>
    </row>
    <row r="52" spans="2:39" ht="13.5" customHeight="1" x14ac:dyDescent="0.3">
      <c r="B52" s="720" t="s">
        <v>573</v>
      </c>
      <c r="C52" s="527" t="s">
        <v>30</v>
      </c>
      <c r="D52" s="510">
        <v>621159</v>
      </c>
      <c r="E52" s="829">
        <v>205039</v>
      </c>
      <c r="F52" s="518">
        <v>621159</v>
      </c>
      <c r="G52" s="829">
        <v>118413</v>
      </c>
      <c r="H52" s="519">
        <v>176013</v>
      </c>
      <c r="I52" s="510">
        <v>97988</v>
      </c>
      <c r="J52" s="518">
        <v>562676</v>
      </c>
      <c r="K52" s="518">
        <v>97988</v>
      </c>
      <c r="L52" s="518">
        <v>96000</v>
      </c>
      <c r="M52" s="519">
        <v>35072</v>
      </c>
      <c r="N52" s="510">
        <v>1092480</v>
      </c>
      <c r="O52" s="518">
        <v>903320</v>
      </c>
      <c r="P52" s="518">
        <v>1092480</v>
      </c>
      <c r="Q52" s="518">
        <v>522171</v>
      </c>
      <c r="R52" s="519">
        <v>968396</v>
      </c>
      <c r="S52" s="510">
        <v>1359450</v>
      </c>
      <c r="T52" s="518">
        <v>1426259</v>
      </c>
      <c r="U52" s="518">
        <v>1359450</v>
      </c>
      <c r="V52" s="518">
        <v>587215</v>
      </c>
      <c r="W52" s="519">
        <v>1121393</v>
      </c>
      <c r="X52" s="510">
        <f t="shared" si="102"/>
        <v>2451930</v>
      </c>
      <c r="Y52" s="512">
        <f t="shared" si="102"/>
        <v>2329579</v>
      </c>
      <c r="Z52" s="512">
        <f t="shared" si="102"/>
        <v>2451930</v>
      </c>
      <c r="AA52" s="512">
        <f t="shared" si="102"/>
        <v>1109386</v>
      </c>
      <c r="AB52" s="513">
        <f t="shared" si="103"/>
        <v>2089789</v>
      </c>
      <c r="AC52" s="510">
        <f t="shared" si="104"/>
        <v>3171077</v>
      </c>
      <c r="AD52" s="512">
        <v>3171077</v>
      </c>
      <c r="AE52" s="512">
        <f t="shared" si="105"/>
        <v>3097294</v>
      </c>
      <c r="AF52" s="512">
        <f t="shared" si="105"/>
        <v>3171077</v>
      </c>
      <c r="AG52" s="512">
        <f t="shared" si="105"/>
        <v>1323799</v>
      </c>
      <c r="AH52" s="513">
        <f t="shared" si="106"/>
        <v>2300874</v>
      </c>
      <c r="AI52" s="538" t="s">
        <v>516</v>
      </c>
      <c r="AJ52" s="539" t="s">
        <v>267</v>
      </c>
      <c r="AK52" s="539" t="s">
        <v>419</v>
      </c>
      <c r="AL52" s="539" t="s">
        <v>420</v>
      </c>
      <c r="AM52" s="540" t="s">
        <v>517</v>
      </c>
    </row>
    <row r="53" spans="2:39" ht="13.5" customHeight="1" x14ac:dyDescent="0.3">
      <c r="B53" s="720" t="s">
        <v>574</v>
      </c>
      <c r="C53" s="527" t="s">
        <v>31</v>
      </c>
      <c r="D53" s="510">
        <v>214771</v>
      </c>
      <c r="E53" s="829">
        <v>221853</v>
      </c>
      <c r="F53" s="518">
        <v>214771</v>
      </c>
      <c r="G53" s="829">
        <v>291214</v>
      </c>
      <c r="H53" s="519">
        <v>156576</v>
      </c>
      <c r="I53" s="510">
        <v>13473</v>
      </c>
      <c r="J53" s="518">
        <v>12424</v>
      </c>
      <c r="K53" s="518">
        <v>13473</v>
      </c>
      <c r="L53" s="518">
        <v>7682</v>
      </c>
      <c r="M53" s="519">
        <v>24175</v>
      </c>
      <c r="N53" s="510">
        <v>351890</v>
      </c>
      <c r="O53" s="518">
        <v>608729</v>
      </c>
      <c r="P53" s="518">
        <v>351890</v>
      </c>
      <c r="Q53" s="518">
        <v>753512</v>
      </c>
      <c r="R53" s="519">
        <v>930959</v>
      </c>
      <c r="S53" s="510">
        <v>520920</v>
      </c>
      <c r="T53" s="518">
        <v>106027</v>
      </c>
      <c r="U53" s="518">
        <v>520920</v>
      </c>
      <c r="V53" s="518">
        <v>1042790</v>
      </c>
      <c r="W53" s="519">
        <v>894681</v>
      </c>
      <c r="X53" s="510">
        <f t="shared" si="102"/>
        <v>872810</v>
      </c>
      <c r="Y53" s="512">
        <f t="shared" si="102"/>
        <v>714756</v>
      </c>
      <c r="Z53" s="512">
        <f t="shared" si="102"/>
        <v>872810</v>
      </c>
      <c r="AA53" s="512">
        <f t="shared" si="102"/>
        <v>1796302</v>
      </c>
      <c r="AB53" s="513">
        <f t="shared" si="103"/>
        <v>1825640</v>
      </c>
      <c r="AC53" s="510">
        <f t="shared" si="104"/>
        <v>1101054</v>
      </c>
      <c r="AD53" s="512">
        <v>1101054</v>
      </c>
      <c r="AE53" s="512">
        <f t="shared" si="105"/>
        <v>949033</v>
      </c>
      <c r="AF53" s="512">
        <f t="shared" si="105"/>
        <v>1101054</v>
      </c>
      <c r="AG53" s="512">
        <f t="shared" si="105"/>
        <v>2095198</v>
      </c>
      <c r="AH53" s="513">
        <f t="shared" si="106"/>
        <v>2006391</v>
      </c>
      <c r="AI53" s="538" t="s">
        <v>516</v>
      </c>
      <c r="AJ53" s="539" t="s">
        <v>267</v>
      </c>
      <c r="AK53" s="539" t="s">
        <v>419</v>
      </c>
      <c r="AL53" s="539" t="s">
        <v>420</v>
      </c>
      <c r="AM53" s="540" t="s">
        <v>517</v>
      </c>
    </row>
    <row r="54" spans="2:39" ht="13.5" customHeight="1" x14ac:dyDescent="0.3">
      <c r="B54" s="720" t="s">
        <v>575</v>
      </c>
      <c r="C54" s="527" t="s">
        <v>32</v>
      </c>
      <c r="D54" s="510">
        <v>465867</v>
      </c>
      <c r="E54" s="829">
        <v>391023</v>
      </c>
      <c r="F54" s="518">
        <v>465867</v>
      </c>
      <c r="G54" s="829">
        <v>179365</v>
      </c>
      <c r="H54" s="519">
        <v>132175</v>
      </c>
      <c r="I54" s="510">
        <v>40828</v>
      </c>
      <c r="J54" s="518">
        <v>60780</v>
      </c>
      <c r="K54" s="518">
        <v>40828</v>
      </c>
      <c r="L54" s="518">
        <v>40000</v>
      </c>
      <c r="M54" s="519">
        <v>11783</v>
      </c>
      <c r="N54" s="510">
        <v>957345</v>
      </c>
      <c r="O54" s="518">
        <v>1076185</v>
      </c>
      <c r="P54" s="518">
        <v>957345</v>
      </c>
      <c r="Q54" s="518">
        <v>479452</v>
      </c>
      <c r="R54" s="519">
        <v>351789</v>
      </c>
      <c r="S54" s="510">
        <v>1909420</v>
      </c>
      <c r="T54" s="518">
        <v>659206</v>
      </c>
      <c r="U54" s="518">
        <v>1909420</v>
      </c>
      <c r="V54" s="518">
        <v>892404</v>
      </c>
      <c r="W54" s="519">
        <v>652641</v>
      </c>
      <c r="X54" s="510">
        <f t="shared" si="102"/>
        <v>2866765</v>
      </c>
      <c r="Y54" s="512">
        <f t="shared" si="102"/>
        <v>1735391</v>
      </c>
      <c r="Z54" s="512">
        <f t="shared" si="102"/>
        <v>2866765</v>
      </c>
      <c r="AA54" s="512">
        <f t="shared" si="102"/>
        <v>1371856</v>
      </c>
      <c r="AB54" s="513">
        <f t="shared" si="103"/>
        <v>1004430</v>
      </c>
      <c r="AC54" s="510">
        <f t="shared" si="104"/>
        <v>3373460</v>
      </c>
      <c r="AD54" s="512">
        <v>3373460</v>
      </c>
      <c r="AE54" s="512">
        <f t="shared" si="105"/>
        <v>2187194</v>
      </c>
      <c r="AF54" s="512">
        <f t="shared" si="105"/>
        <v>3373460</v>
      </c>
      <c r="AG54" s="512">
        <f t="shared" si="105"/>
        <v>1591221</v>
      </c>
      <c r="AH54" s="513">
        <f t="shared" si="106"/>
        <v>1148388</v>
      </c>
      <c r="AI54" s="538" t="s">
        <v>516</v>
      </c>
      <c r="AJ54" s="539" t="s">
        <v>267</v>
      </c>
      <c r="AK54" s="539" t="s">
        <v>419</v>
      </c>
      <c r="AL54" s="539" t="s">
        <v>420</v>
      </c>
      <c r="AM54" s="540" t="s">
        <v>517</v>
      </c>
    </row>
    <row r="55" spans="2:39" ht="13.5" customHeight="1" x14ac:dyDescent="0.3">
      <c r="B55" s="720" t="s">
        <v>576</v>
      </c>
      <c r="C55" s="527" t="s">
        <v>577</v>
      </c>
      <c r="D55" s="510">
        <v>0</v>
      </c>
      <c r="E55" s="829">
        <v>214651</v>
      </c>
      <c r="F55" s="518">
        <v>0</v>
      </c>
      <c r="G55" s="829">
        <v>0</v>
      </c>
      <c r="H55" s="519">
        <v>0</v>
      </c>
      <c r="I55" s="510">
        <v>0</v>
      </c>
      <c r="J55" s="518">
        <v>1587</v>
      </c>
      <c r="K55" s="518">
        <v>0</v>
      </c>
      <c r="L55" s="518">
        <v>0</v>
      </c>
      <c r="M55" s="519">
        <v>0</v>
      </c>
      <c r="N55" s="510">
        <v>0</v>
      </c>
      <c r="O55" s="518">
        <v>71336</v>
      </c>
      <c r="P55" s="518">
        <v>0</v>
      </c>
      <c r="Q55" s="518">
        <v>0</v>
      </c>
      <c r="R55" s="519">
        <v>0</v>
      </c>
      <c r="S55" s="510">
        <v>0</v>
      </c>
      <c r="T55" s="518">
        <v>64918</v>
      </c>
      <c r="U55" s="518">
        <v>0</v>
      </c>
      <c r="V55" s="518">
        <v>0</v>
      </c>
      <c r="W55" s="519">
        <v>0</v>
      </c>
      <c r="X55" s="510">
        <f t="shared" si="102"/>
        <v>0</v>
      </c>
      <c r="Y55" s="512">
        <f t="shared" si="102"/>
        <v>136254</v>
      </c>
      <c r="Z55" s="512">
        <f t="shared" si="102"/>
        <v>0</v>
      </c>
      <c r="AA55" s="512">
        <f t="shared" si="102"/>
        <v>0</v>
      </c>
      <c r="AB55" s="513">
        <f t="shared" si="103"/>
        <v>0</v>
      </c>
      <c r="AC55" s="510">
        <f t="shared" si="104"/>
        <v>0</v>
      </c>
      <c r="AD55" s="512">
        <v>0</v>
      </c>
      <c r="AE55" s="512">
        <f t="shared" si="105"/>
        <v>352492</v>
      </c>
      <c r="AF55" s="512">
        <f t="shared" si="105"/>
        <v>0</v>
      </c>
      <c r="AG55" s="512">
        <f t="shared" si="105"/>
        <v>0</v>
      </c>
      <c r="AH55" s="513">
        <f t="shared" si="106"/>
        <v>0</v>
      </c>
      <c r="AI55" s="538" t="s">
        <v>516</v>
      </c>
      <c r="AJ55" s="539" t="s">
        <v>267</v>
      </c>
      <c r="AK55" s="539" t="s">
        <v>419</v>
      </c>
      <c r="AL55" s="539" t="s">
        <v>431</v>
      </c>
      <c r="AM55" s="540" t="s">
        <v>517</v>
      </c>
    </row>
    <row r="56" spans="2:39" ht="13.5" customHeight="1" x14ac:dyDescent="0.3">
      <c r="B56" s="720" t="s">
        <v>578</v>
      </c>
      <c r="C56" s="527" t="s">
        <v>579</v>
      </c>
      <c r="D56" s="510">
        <v>0</v>
      </c>
      <c r="E56" s="829">
        <v>0</v>
      </c>
      <c r="F56" s="518">
        <v>0</v>
      </c>
      <c r="G56" s="829">
        <v>0</v>
      </c>
      <c r="H56" s="519">
        <v>112890</v>
      </c>
      <c r="I56" s="510">
        <v>0</v>
      </c>
      <c r="J56" s="518">
        <v>0</v>
      </c>
      <c r="K56" s="518">
        <v>0</v>
      </c>
      <c r="L56" s="518">
        <v>0</v>
      </c>
      <c r="M56" s="519">
        <v>49178</v>
      </c>
      <c r="N56" s="510">
        <v>0</v>
      </c>
      <c r="O56" s="518">
        <v>0</v>
      </c>
      <c r="P56" s="518">
        <v>0</v>
      </c>
      <c r="Q56" s="518">
        <v>0</v>
      </c>
      <c r="R56" s="519">
        <v>747554</v>
      </c>
      <c r="S56" s="510">
        <v>0</v>
      </c>
      <c r="T56" s="518">
        <v>0</v>
      </c>
      <c r="U56" s="518">
        <v>0</v>
      </c>
      <c r="V56" s="518">
        <v>0</v>
      </c>
      <c r="W56" s="519">
        <v>609982</v>
      </c>
      <c r="X56" s="510">
        <f t="shared" si="102"/>
        <v>0</v>
      </c>
      <c r="Y56" s="512">
        <f t="shared" si="102"/>
        <v>0</v>
      </c>
      <c r="Z56" s="512">
        <f t="shared" si="102"/>
        <v>0</v>
      </c>
      <c r="AA56" s="512">
        <f t="shared" si="102"/>
        <v>0</v>
      </c>
      <c r="AB56" s="513">
        <f t="shared" si="103"/>
        <v>1357536</v>
      </c>
      <c r="AC56" s="510">
        <f t="shared" si="104"/>
        <v>0</v>
      </c>
      <c r="AD56" s="512">
        <v>0</v>
      </c>
      <c r="AE56" s="512">
        <f t="shared" si="105"/>
        <v>0</v>
      </c>
      <c r="AF56" s="512">
        <f t="shared" si="105"/>
        <v>0</v>
      </c>
      <c r="AG56" s="512">
        <f t="shared" si="105"/>
        <v>0</v>
      </c>
      <c r="AH56" s="513">
        <f t="shared" si="106"/>
        <v>1519604</v>
      </c>
      <c r="AI56" s="538" t="s">
        <v>516</v>
      </c>
      <c r="AJ56" s="539" t="s">
        <v>267</v>
      </c>
      <c r="AK56" s="539" t="s">
        <v>419</v>
      </c>
      <c r="AL56" s="539" t="s">
        <v>437</v>
      </c>
      <c r="AM56" s="539" t="s">
        <v>517</v>
      </c>
    </row>
    <row r="57" spans="2:39" ht="13.5" customHeight="1" x14ac:dyDescent="0.3">
      <c r="B57" s="522" t="s">
        <v>464</v>
      </c>
      <c r="C57" s="523" t="s">
        <v>465</v>
      </c>
      <c r="D57" s="501">
        <f t="shared" ref="D57:AH57" si="107">SUM(D58:D61)</f>
        <v>548016</v>
      </c>
      <c r="E57" s="827">
        <f t="shared" si="107"/>
        <v>214049</v>
      </c>
      <c r="F57" s="501">
        <f t="shared" si="107"/>
        <v>548016</v>
      </c>
      <c r="G57" s="827">
        <f t="shared" ref="G57" si="108">SUM(G58:G61)</f>
        <v>296917</v>
      </c>
      <c r="H57" s="501">
        <f t="shared" si="107"/>
        <v>254167</v>
      </c>
      <c r="I57" s="501">
        <f t="shared" si="107"/>
        <v>120865</v>
      </c>
      <c r="J57" s="501">
        <f t="shared" si="107"/>
        <v>16868</v>
      </c>
      <c r="K57" s="501">
        <f t="shared" si="107"/>
        <v>120865</v>
      </c>
      <c r="L57" s="501">
        <f t="shared" ref="L57" si="109">SUM(L58:L61)</f>
        <v>16868</v>
      </c>
      <c r="M57" s="501">
        <f t="shared" si="107"/>
        <v>17379</v>
      </c>
      <c r="N57" s="501">
        <f t="shared" si="107"/>
        <v>4399454</v>
      </c>
      <c r="O57" s="501">
        <f t="shared" si="107"/>
        <v>3650103</v>
      </c>
      <c r="P57" s="501">
        <f t="shared" si="107"/>
        <v>4399454</v>
      </c>
      <c r="Q57" s="501">
        <f t="shared" ref="Q57" si="110">SUM(Q58:Q61)</f>
        <v>2797209</v>
      </c>
      <c r="R57" s="501">
        <f t="shared" si="107"/>
        <v>2741393</v>
      </c>
      <c r="S57" s="501">
        <f t="shared" si="107"/>
        <v>414285</v>
      </c>
      <c r="T57" s="501">
        <f t="shared" si="107"/>
        <v>3529003</v>
      </c>
      <c r="U57" s="501">
        <f t="shared" si="107"/>
        <v>414285</v>
      </c>
      <c r="V57" s="501">
        <f t="shared" ref="V57" si="111">SUM(V58:V61)</f>
        <v>1449623</v>
      </c>
      <c r="W57" s="501">
        <f t="shared" si="107"/>
        <v>464082</v>
      </c>
      <c r="X57" s="501">
        <f t="shared" si="107"/>
        <v>4813739</v>
      </c>
      <c r="Y57" s="501">
        <f t="shared" si="107"/>
        <v>7179106</v>
      </c>
      <c r="Z57" s="501">
        <f t="shared" si="107"/>
        <v>4813739</v>
      </c>
      <c r="AA57" s="501">
        <f t="shared" ref="AA57" si="112">SUM(AA58:AA61)</f>
        <v>4246832</v>
      </c>
      <c r="AB57" s="501">
        <f t="shared" si="107"/>
        <v>3205475</v>
      </c>
      <c r="AC57" s="501">
        <f t="shared" si="107"/>
        <v>5482620</v>
      </c>
      <c r="AD57" s="501">
        <f t="shared" si="107"/>
        <v>5302620</v>
      </c>
      <c r="AE57" s="501">
        <f t="shared" si="107"/>
        <v>7410023</v>
      </c>
      <c r="AF57" s="501">
        <f t="shared" si="107"/>
        <v>5482620</v>
      </c>
      <c r="AG57" s="501">
        <f t="shared" ref="AG57" si="113">SUM(AG58:AG61)</f>
        <v>4560617</v>
      </c>
      <c r="AH57" s="501">
        <f t="shared" si="107"/>
        <v>3477021</v>
      </c>
      <c r="AI57" s="524" t="s">
        <v>416</v>
      </c>
      <c r="AJ57" s="525" t="s">
        <v>246</v>
      </c>
      <c r="AK57" s="525"/>
      <c r="AL57" s="525"/>
      <c r="AM57" s="526" t="s">
        <v>466</v>
      </c>
    </row>
    <row r="58" spans="2:39" ht="13.5" customHeight="1" x14ac:dyDescent="0.25">
      <c r="B58" s="714" t="s">
        <v>467</v>
      </c>
      <c r="C58" s="509" t="s">
        <v>80</v>
      </c>
      <c r="D58" s="510">
        <v>319261</v>
      </c>
      <c r="E58" s="828">
        <v>101877</v>
      </c>
      <c r="F58" s="512">
        <v>319261</v>
      </c>
      <c r="G58" s="842">
        <v>159793</v>
      </c>
      <c r="H58" s="513">
        <v>137791</v>
      </c>
      <c r="I58" s="510">
        <v>35725</v>
      </c>
      <c r="J58" s="511">
        <v>295</v>
      </c>
      <c r="K58" s="512">
        <v>35725</v>
      </c>
      <c r="L58" s="512">
        <v>0</v>
      </c>
      <c r="M58" s="513">
        <v>0</v>
      </c>
      <c r="N58" s="510">
        <v>2817910</v>
      </c>
      <c r="O58" s="511">
        <v>1526061</v>
      </c>
      <c r="P58" s="512">
        <v>2817910</v>
      </c>
      <c r="Q58" s="512">
        <v>1964733</v>
      </c>
      <c r="R58" s="513">
        <v>1934271</v>
      </c>
      <c r="S58" s="510">
        <v>0</v>
      </c>
      <c r="T58" s="511">
        <v>0</v>
      </c>
      <c r="U58" s="512">
        <v>0</v>
      </c>
      <c r="V58" s="512"/>
      <c r="W58" s="513">
        <v>0</v>
      </c>
      <c r="X58" s="510">
        <f t="shared" ref="X58:AA61" si="114">+N58+S58</f>
        <v>2817910</v>
      </c>
      <c r="Y58" s="512">
        <f t="shared" si="114"/>
        <v>1526061</v>
      </c>
      <c r="Z58" s="512">
        <f t="shared" si="114"/>
        <v>2817910</v>
      </c>
      <c r="AA58" s="512">
        <f t="shared" si="114"/>
        <v>1964733</v>
      </c>
      <c r="AB58" s="513">
        <f t="shared" ref="AB58:AB61" si="115">+R58+W58</f>
        <v>1934271</v>
      </c>
      <c r="AC58" s="510">
        <f t="shared" si="35"/>
        <v>3172896</v>
      </c>
      <c r="AD58" s="512">
        <v>2007896</v>
      </c>
      <c r="AE58" s="512">
        <f t="shared" ref="AE58:AG61" si="116">+E58+J58+Y58</f>
        <v>1628233</v>
      </c>
      <c r="AF58" s="512">
        <f t="shared" si="116"/>
        <v>3172896</v>
      </c>
      <c r="AG58" s="512">
        <f t="shared" si="116"/>
        <v>2124526</v>
      </c>
      <c r="AH58" s="513">
        <f t="shared" ref="AH58:AH61" si="117">+H58+M58+AB58</f>
        <v>2072062</v>
      </c>
      <c r="AI58" s="514" t="s">
        <v>416</v>
      </c>
      <c r="AJ58" s="515" t="s">
        <v>246</v>
      </c>
      <c r="AK58" s="515" t="s">
        <v>434</v>
      </c>
      <c r="AL58" s="515" t="s">
        <v>420</v>
      </c>
      <c r="AM58" s="516" t="s">
        <v>421</v>
      </c>
    </row>
    <row r="59" spans="2:39" ht="13.5" customHeight="1" x14ac:dyDescent="0.25">
      <c r="B59" s="714" t="s">
        <v>468</v>
      </c>
      <c r="C59" s="509" t="s">
        <v>18</v>
      </c>
      <c r="D59" s="510">
        <v>156167</v>
      </c>
      <c r="E59" s="828">
        <v>80390</v>
      </c>
      <c r="F59" s="512">
        <v>156167</v>
      </c>
      <c r="G59" s="842">
        <v>59472</v>
      </c>
      <c r="H59" s="513">
        <v>70614</v>
      </c>
      <c r="I59" s="510">
        <v>33525</v>
      </c>
      <c r="J59" s="511">
        <v>7050</v>
      </c>
      <c r="K59" s="512">
        <v>33525</v>
      </c>
      <c r="L59" s="512">
        <v>7345</v>
      </c>
      <c r="M59" s="513">
        <v>7569</v>
      </c>
      <c r="N59" s="510">
        <v>756217</v>
      </c>
      <c r="O59" s="511">
        <v>1737512</v>
      </c>
      <c r="P59" s="512">
        <v>756217</v>
      </c>
      <c r="Q59" s="512">
        <v>582268</v>
      </c>
      <c r="R59" s="513">
        <v>578916</v>
      </c>
      <c r="S59" s="510">
        <v>190911</v>
      </c>
      <c r="T59" s="511">
        <v>1418341</v>
      </c>
      <c r="U59" s="512">
        <v>190911</v>
      </c>
      <c r="V59" s="512">
        <v>1424094</v>
      </c>
      <c r="W59" s="513">
        <v>462672</v>
      </c>
      <c r="X59" s="510">
        <f t="shared" si="114"/>
        <v>947128</v>
      </c>
      <c r="Y59" s="512">
        <f t="shared" si="114"/>
        <v>3155853</v>
      </c>
      <c r="Z59" s="512">
        <f t="shared" si="114"/>
        <v>947128</v>
      </c>
      <c r="AA59" s="512">
        <f t="shared" si="114"/>
        <v>2006362</v>
      </c>
      <c r="AB59" s="513">
        <f t="shared" si="115"/>
        <v>1041588</v>
      </c>
      <c r="AC59" s="510">
        <f t="shared" si="35"/>
        <v>1136820</v>
      </c>
      <c r="AD59" s="512">
        <v>2121820</v>
      </c>
      <c r="AE59" s="512">
        <f t="shared" si="116"/>
        <v>3243293</v>
      </c>
      <c r="AF59" s="512">
        <f t="shared" si="116"/>
        <v>1136820</v>
      </c>
      <c r="AG59" s="512">
        <f t="shared" si="116"/>
        <v>2073179</v>
      </c>
      <c r="AH59" s="513">
        <f t="shared" si="117"/>
        <v>1119771</v>
      </c>
      <c r="AI59" s="514" t="s">
        <v>416</v>
      </c>
      <c r="AJ59" s="515" t="s">
        <v>246</v>
      </c>
      <c r="AK59" s="515" t="s">
        <v>419</v>
      </c>
      <c r="AL59" s="515" t="s">
        <v>420</v>
      </c>
      <c r="AM59" s="516" t="s">
        <v>445</v>
      </c>
    </row>
    <row r="60" spans="2:39" ht="13.5" customHeight="1" x14ac:dyDescent="0.25">
      <c r="B60" s="714" t="s">
        <v>469</v>
      </c>
      <c r="C60" s="509" t="s">
        <v>19</v>
      </c>
      <c r="D60" s="510">
        <v>72588</v>
      </c>
      <c r="E60" s="828">
        <v>31697</v>
      </c>
      <c r="F60" s="512">
        <v>72588</v>
      </c>
      <c r="G60" s="842">
        <v>39694</v>
      </c>
      <c r="H60" s="513">
        <v>18170</v>
      </c>
      <c r="I60" s="510">
        <v>51615</v>
      </c>
      <c r="J60" s="511">
        <v>9523</v>
      </c>
      <c r="K60" s="512">
        <v>51615</v>
      </c>
      <c r="L60" s="512">
        <v>9523</v>
      </c>
      <c r="M60" s="513">
        <v>9810</v>
      </c>
      <c r="N60" s="510">
        <v>488561</v>
      </c>
      <c r="O60" s="511">
        <v>252314</v>
      </c>
      <c r="P60" s="512">
        <v>488561</v>
      </c>
      <c r="Q60" s="512">
        <v>201981</v>
      </c>
      <c r="R60" s="513">
        <v>186476</v>
      </c>
      <c r="S60" s="510">
        <v>223374</v>
      </c>
      <c r="T60" s="511">
        <v>2110662</v>
      </c>
      <c r="U60" s="512">
        <v>223374</v>
      </c>
      <c r="V60" s="512">
        <v>25529</v>
      </c>
      <c r="W60" s="513">
        <v>1410</v>
      </c>
      <c r="X60" s="510">
        <f t="shared" si="114"/>
        <v>711935</v>
      </c>
      <c r="Y60" s="512">
        <f t="shared" si="114"/>
        <v>2362976</v>
      </c>
      <c r="Z60" s="512">
        <f t="shared" si="114"/>
        <v>711935</v>
      </c>
      <c r="AA60" s="512">
        <f t="shared" si="114"/>
        <v>227510</v>
      </c>
      <c r="AB60" s="513">
        <f t="shared" si="115"/>
        <v>187886</v>
      </c>
      <c r="AC60" s="510">
        <f t="shared" si="35"/>
        <v>836138</v>
      </c>
      <c r="AD60" s="512">
        <v>836138</v>
      </c>
      <c r="AE60" s="512">
        <f t="shared" si="116"/>
        <v>2404196</v>
      </c>
      <c r="AF60" s="512">
        <f t="shared" si="116"/>
        <v>836138</v>
      </c>
      <c r="AG60" s="512">
        <f t="shared" si="116"/>
        <v>276727</v>
      </c>
      <c r="AH60" s="513">
        <f t="shared" si="117"/>
        <v>215866</v>
      </c>
      <c r="AI60" s="514" t="s">
        <v>426</v>
      </c>
      <c r="AJ60" s="515" t="s">
        <v>246</v>
      </c>
      <c r="AK60" s="515" t="s">
        <v>419</v>
      </c>
      <c r="AL60" s="515" t="s">
        <v>420</v>
      </c>
      <c r="AM60" s="516" t="s">
        <v>447</v>
      </c>
    </row>
    <row r="61" spans="2:39" ht="13.5" customHeight="1" x14ac:dyDescent="0.25">
      <c r="B61" s="714" t="s">
        <v>470</v>
      </c>
      <c r="C61" s="509" t="s">
        <v>81</v>
      </c>
      <c r="D61" s="510">
        <v>0</v>
      </c>
      <c r="E61" s="828">
        <v>85</v>
      </c>
      <c r="F61" s="512">
        <v>0</v>
      </c>
      <c r="G61" s="842">
        <v>37958</v>
      </c>
      <c r="H61" s="513">
        <v>27592</v>
      </c>
      <c r="I61" s="510">
        <v>0</v>
      </c>
      <c r="J61" s="511">
        <v>0</v>
      </c>
      <c r="K61" s="512">
        <v>0</v>
      </c>
      <c r="L61" s="512"/>
      <c r="M61" s="513">
        <v>0</v>
      </c>
      <c r="N61" s="510">
        <v>336766</v>
      </c>
      <c r="O61" s="511">
        <v>134216</v>
      </c>
      <c r="P61" s="512">
        <v>336766</v>
      </c>
      <c r="Q61" s="512">
        <v>48227</v>
      </c>
      <c r="R61" s="513">
        <v>41730</v>
      </c>
      <c r="S61" s="510"/>
      <c r="T61" s="511">
        <v>0</v>
      </c>
      <c r="U61" s="512">
        <v>0</v>
      </c>
      <c r="V61" s="512"/>
      <c r="W61" s="513">
        <v>0</v>
      </c>
      <c r="X61" s="510">
        <f t="shared" si="114"/>
        <v>336766</v>
      </c>
      <c r="Y61" s="512">
        <f t="shared" si="114"/>
        <v>134216</v>
      </c>
      <c r="Z61" s="512">
        <f t="shared" si="114"/>
        <v>336766</v>
      </c>
      <c r="AA61" s="512">
        <f t="shared" si="114"/>
        <v>48227</v>
      </c>
      <c r="AB61" s="513">
        <f t="shared" si="115"/>
        <v>41730</v>
      </c>
      <c r="AC61" s="510">
        <f t="shared" si="35"/>
        <v>336766</v>
      </c>
      <c r="AD61" s="512">
        <v>336766</v>
      </c>
      <c r="AE61" s="512">
        <f t="shared" si="116"/>
        <v>134301</v>
      </c>
      <c r="AF61" s="512">
        <f t="shared" si="116"/>
        <v>336766</v>
      </c>
      <c r="AG61" s="512">
        <f t="shared" si="116"/>
        <v>86185</v>
      </c>
      <c r="AH61" s="513">
        <f t="shared" si="117"/>
        <v>69322</v>
      </c>
      <c r="AI61" s="514" t="s">
        <v>416</v>
      </c>
      <c r="AJ61" s="515" t="s">
        <v>246</v>
      </c>
      <c r="AK61" s="515" t="s">
        <v>434</v>
      </c>
      <c r="AL61" s="515" t="s">
        <v>420</v>
      </c>
      <c r="AM61" s="516" t="s">
        <v>451</v>
      </c>
    </row>
    <row r="62" spans="2:39" ht="13.5" customHeight="1" x14ac:dyDescent="0.3">
      <c r="B62" s="522" t="s">
        <v>481</v>
      </c>
      <c r="C62" s="523" t="s">
        <v>482</v>
      </c>
      <c r="D62" s="501">
        <f>SUM(D63:D66)</f>
        <v>2590736</v>
      </c>
      <c r="E62" s="827">
        <f t="shared" ref="E62:AH62" si="118">SUM(E63:E66)</f>
        <v>1010780</v>
      </c>
      <c r="F62" s="501">
        <f t="shared" si="118"/>
        <v>2590736</v>
      </c>
      <c r="G62" s="827">
        <f t="shared" ref="G62" si="119">SUM(G63:G66)</f>
        <v>749502</v>
      </c>
      <c r="H62" s="501">
        <f t="shared" si="118"/>
        <v>180728</v>
      </c>
      <c r="I62" s="501">
        <f t="shared" si="118"/>
        <v>258422</v>
      </c>
      <c r="J62" s="501">
        <f t="shared" si="118"/>
        <v>236059</v>
      </c>
      <c r="K62" s="501">
        <f t="shared" si="118"/>
        <v>258422</v>
      </c>
      <c r="L62" s="501">
        <f t="shared" ref="L62" si="120">SUM(L63:L66)</f>
        <v>55443</v>
      </c>
      <c r="M62" s="501">
        <f t="shared" si="118"/>
        <v>45398</v>
      </c>
      <c r="N62" s="501">
        <f t="shared" si="118"/>
        <v>14142984</v>
      </c>
      <c r="O62" s="501">
        <f t="shared" si="118"/>
        <v>8262594</v>
      </c>
      <c r="P62" s="501">
        <f t="shared" si="118"/>
        <v>14142984</v>
      </c>
      <c r="Q62" s="501">
        <f t="shared" ref="Q62" si="121">SUM(Q63:Q66)</f>
        <v>14004713</v>
      </c>
      <c r="R62" s="501">
        <f t="shared" si="118"/>
        <v>1339040</v>
      </c>
      <c r="S62" s="501">
        <f t="shared" si="118"/>
        <v>0</v>
      </c>
      <c r="T62" s="501">
        <f t="shared" si="118"/>
        <v>0</v>
      </c>
      <c r="U62" s="501">
        <f t="shared" si="118"/>
        <v>0</v>
      </c>
      <c r="V62" s="501">
        <f t="shared" ref="V62" si="122">SUM(V63:V66)</f>
        <v>0</v>
      </c>
      <c r="W62" s="501">
        <f t="shared" si="118"/>
        <v>0</v>
      </c>
      <c r="X62" s="501">
        <f t="shared" si="118"/>
        <v>14142984</v>
      </c>
      <c r="Y62" s="501">
        <f t="shared" si="118"/>
        <v>8262594</v>
      </c>
      <c r="Z62" s="501">
        <f t="shared" si="118"/>
        <v>14142984</v>
      </c>
      <c r="AA62" s="501">
        <f t="shared" ref="AA62" si="123">SUM(AA63:AA66)</f>
        <v>14004713</v>
      </c>
      <c r="AB62" s="501">
        <f t="shared" si="118"/>
        <v>1339040</v>
      </c>
      <c r="AC62" s="501">
        <f t="shared" si="118"/>
        <v>16992142</v>
      </c>
      <c r="AD62" s="501">
        <f t="shared" si="118"/>
        <v>16992142</v>
      </c>
      <c r="AE62" s="501">
        <f t="shared" si="118"/>
        <v>9509433</v>
      </c>
      <c r="AF62" s="501">
        <f t="shared" si="118"/>
        <v>16992142</v>
      </c>
      <c r="AG62" s="501">
        <f t="shared" ref="AG62" si="124">SUM(AG63:AG66)</f>
        <v>14809658</v>
      </c>
      <c r="AH62" s="501">
        <f t="shared" si="118"/>
        <v>1565166</v>
      </c>
      <c r="AI62" s="524" t="s">
        <v>426</v>
      </c>
      <c r="AJ62" s="525" t="s">
        <v>474</v>
      </c>
      <c r="AK62" s="525"/>
      <c r="AL62" s="525"/>
      <c r="AM62" s="526" t="s">
        <v>483</v>
      </c>
    </row>
    <row r="63" spans="2:39" ht="13.5" customHeight="1" x14ac:dyDescent="0.25">
      <c r="B63" s="713" t="s">
        <v>484</v>
      </c>
      <c r="C63" s="509" t="s">
        <v>82</v>
      </c>
      <c r="D63" s="510">
        <v>2281345</v>
      </c>
      <c r="E63" s="828">
        <v>772465</v>
      </c>
      <c r="F63" s="512">
        <v>2281345</v>
      </c>
      <c r="G63" s="842">
        <v>688274</v>
      </c>
      <c r="H63" s="513">
        <v>175187</v>
      </c>
      <c r="I63" s="510">
        <v>215352</v>
      </c>
      <c r="J63" s="511">
        <v>46337</v>
      </c>
      <c r="K63" s="512">
        <v>215352</v>
      </c>
      <c r="L63" s="512">
        <v>46337</v>
      </c>
      <c r="M63" s="513">
        <v>45398</v>
      </c>
      <c r="N63" s="510">
        <f>2158639+11000000</f>
        <v>13158639</v>
      </c>
      <c r="O63" s="511">
        <f>3693091+1374021</f>
        <v>5067112</v>
      </c>
      <c r="P63" s="512">
        <f>2158639+11000000</f>
        <v>13158639</v>
      </c>
      <c r="Q63" s="512">
        <f>1899170+11000000</f>
        <v>12899170</v>
      </c>
      <c r="R63" s="513">
        <v>1207582</v>
      </c>
      <c r="S63" s="510">
        <v>0</v>
      </c>
      <c r="T63" s="512">
        <v>0</v>
      </c>
      <c r="U63" s="512">
        <v>0</v>
      </c>
      <c r="V63" s="512"/>
      <c r="W63" s="513">
        <v>0</v>
      </c>
      <c r="X63" s="510">
        <f t="shared" ref="X63:AA65" si="125">+N63+S63</f>
        <v>13158639</v>
      </c>
      <c r="Y63" s="512">
        <f t="shared" si="125"/>
        <v>5067112</v>
      </c>
      <c r="Z63" s="512">
        <f t="shared" si="125"/>
        <v>13158639</v>
      </c>
      <c r="AA63" s="512">
        <f t="shared" si="125"/>
        <v>12899170</v>
      </c>
      <c r="AB63" s="513">
        <f t="shared" ref="AB63:AB65" si="126">+R63+W63</f>
        <v>1207582</v>
      </c>
      <c r="AC63" s="510">
        <f t="shared" si="35"/>
        <v>15655336</v>
      </c>
      <c r="AD63" s="512">
        <v>15655336</v>
      </c>
      <c r="AE63" s="512">
        <f t="shared" ref="AE63:AG66" si="127">+E63+J63+Y63</f>
        <v>5885914</v>
      </c>
      <c r="AF63" s="512">
        <f t="shared" si="127"/>
        <v>15655336</v>
      </c>
      <c r="AG63" s="512">
        <f t="shared" si="127"/>
        <v>13633781</v>
      </c>
      <c r="AH63" s="513">
        <f t="shared" ref="AH63:AH65" si="128">+H63+M63+AB63</f>
        <v>1428167</v>
      </c>
      <c r="AI63" s="514" t="s">
        <v>426</v>
      </c>
      <c r="AJ63" s="515" t="s">
        <v>474</v>
      </c>
      <c r="AK63" s="515" t="s">
        <v>419</v>
      </c>
      <c r="AL63" s="515" t="s">
        <v>420</v>
      </c>
      <c r="AM63" s="516" t="s">
        <v>483</v>
      </c>
    </row>
    <row r="64" spans="2:39" ht="13.5" customHeight="1" x14ac:dyDescent="0.25">
      <c r="B64" s="713" t="s">
        <v>485</v>
      </c>
      <c r="C64" s="509" t="s">
        <v>83</v>
      </c>
      <c r="D64" s="510">
        <v>94805</v>
      </c>
      <c r="E64" s="828">
        <v>35266</v>
      </c>
      <c r="F64" s="512">
        <v>94805</v>
      </c>
      <c r="G64" s="842">
        <v>33611</v>
      </c>
      <c r="H64" s="513">
        <v>0</v>
      </c>
      <c r="I64" s="510">
        <v>43070</v>
      </c>
      <c r="J64" s="511">
        <v>-136734</v>
      </c>
      <c r="K64" s="512">
        <v>43070</v>
      </c>
      <c r="L64" s="512">
        <v>9106</v>
      </c>
      <c r="M64" s="513">
        <v>0</v>
      </c>
      <c r="N64" s="510">
        <f>301557+200000</f>
        <v>501557</v>
      </c>
      <c r="O64" s="511">
        <v>1176271</v>
      </c>
      <c r="P64" s="512">
        <f>301557+200000</f>
        <v>501557</v>
      </c>
      <c r="Q64" s="512">
        <f>200000+789936</f>
        <v>989936</v>
      </c>
      <c r="R64" s="513">
        <v>0</v>
      </c>
      <c r="S64" s="510">
        <v>0</v>
      </c>
      <c r="T64" s="512">
        <v>0</v>
      </c>
      <c r="U64" s="512">
        <v>0</v>
      </c>
      <c r="V64" s="512"/>
      <c r="W64" s="513">
        <v>0</v>
      </c>
      <c r="X64" s="510">
        <f t="shared" si="125"/>
        <v>501557</v>
      </c>
      <c r="Y64" s="512">
        <f t="shared" si="125"/>
        <v>1176271</v>
      </c>
      <c r="Z64" s="512">
        <f t="shared" si="125"/>
        <v>501557</v>
      </c>
      <c r="AA64" s="512">
        <f t="shared" si="125"/>
        <v>989936</v>
      </c>
      <c r="AB64" s="513">
        <f t="shared" si="126"/>
        <v>0</v>
      </c>
      <c r="AC64" s="510">
        <f t="shared" si="35"/>
        <v>639432</v>
      </c>
      <c r="AD64" s="512">
        <v>639432</v>
      </c>
      <c r="AE64" s="512">
        <f t="shared" si="127"/>
        <v>1074803</v>
      </c>
      <c r="AF64" s="512">
        <f t="shared" si="127"/>
        <v>639432</v>
      </c>
      <c r="AG64" s="512">
        <f t="shared" si="127"/>
        <v>1032653</v>
      </c>
      <c r="AH64" s="513">
        <f t="shared" si="128"/>
        <v>0</v>
      </c>
      <c r="AI64" s="514" t="s">
        <v>426</v>
      </c>
      <c r="AJ64" s="515" t="s">
        <v>474</v>
      </c>
      <c r="AK64" s="515" t="s">
        <v>419</v>
      </c>
      <c r="AL64" s="515" t="s">
        <v>431</v>
      </c>
      <c r="AM64" s="516" t="s">
        <v>483</v>
      </c>
    </row>
    <row r="65" spans="2:39" ht="13.5" customHeight="1" x14ac:dyDescent="0.25">
      <c r="B65" s="713" t="s">
        <v>486</v>
      </c>
      <c r="C65" s="509" t="s">
        <v>487</v>
      </c>
      <c r="D65" s="510">
        <v>0</v>
      </c>
      <c r="E65" s="828">
        <v>140039</v>
      </c>
      <c r="F65" s="512">
        <v>0</v>
      </c>
      <c r="G65" s="842">
        <v>0</v>
      </c>
      <c r="H65" s="528">
        <v>0</v>
      </c>
      <c r="I65" s="510">
        <v>0</v>
      </c>
      <c r="J65" s="511">
        <v>326456</v>
      </c>
      <c r="K65" s="512">
        <v>0</v>
      </c>
      <c r="L65" s="512">
        <v>0</v>
      </c>
      <c r="M65" s="528">
        <v>0</v>
      </c>
      <c r="N65" s="510">
        <v>0</v>
      </c>
      <c r="O65" s="511">
        <v>1771129</v>
      </c>
      <c r="P65" s="512">
        <v>0</v>
      </c>
      <c r="Q65" s="512">
        <v>0</v>
      </c>
      <c r="R65" s="528">
        <v>0</v>
      </c>
      <c r="S65" s="510">
        <v>0</v>
      </c>
      <c r="T65" s="529">
        <v>0</v>
      </c>
      <c r="U65" s="529">
        <v>0</v>
      </c>
      <c r="V65" s="512">
        <v>0</v>
      </c>
      <c r="W65" s="528">
        <v>0</v>
      </c>
      <c r="X65" s="510">
        <f t="shared" si="125"/>
        <v>0</v>
      </c>
      <c r="Y65" s="512">
        <f t="shared" si="125"/>
        <v>1771129</v>
      </c>
      <c r="Z65" s="512">
        <f t="shared" si="125"/>
        <v>0</v>
      </c>
      <c r="AA65" s="512">
        <f t="shared" si="125"/>
        <v>0</v>
      </c>
      <c r="AB65" s="513">
        <f t="shared" si="126"/>
        <v>0</v>
      </c>
      <c r="AC65" s="510">
        <f t="shared" si="35"/>
        <v>0</v>
      </c>
      <c r="AD65" s="512">
        <v>0</v>
      </c>
      <c r="AE65" s="512">
        <f t="shared" si="127"/>
        <v>2237624</v>
      </c>
      <c r="AF65" s="512">
        <f t="shared" si="127"/>
        <v>0</v>
      </c>
      <c r="AG65" s="512">
        <f t="shared" si="127"/>
        <v>0</v>
      </c>
      <c r="AH65" s="513">
        <f t="shared" si="128"/>
        <v>0</v>
      </c>
      <c r="AI65" s="514" t="s">
        <v>426</v>
      </c>
      <c r="AJ65" s="515" t="s">
        <v>474</v>
      </c>
      <c r="AK65" s="515" t="s">
        <v>419</v>
      </c>
      <c r="AL65" s="515" t="s">
        <v>488</v>
      </c>
      <c r="AM65" s="516" t="s">
        <v>483</v>
      </c>
    </row>
    <row r="66" spans="2:39" ht="13.5" customHeight="1" x14ac:dyDescent="0.25">
      <c r="B66" s="727" t="s">
        <v>479</v>
      </c>
      <c r="C66" s="531" t="s">
        <v>93</v>
      </c>
      <c r="D66" s="517">
        <v>214586</v>
      </c>
      <c r="E66" s="831">
        <v>63010</v>
      </c>
      <c r="F66" s="518">
        <v>214586</v>
      </c>
      <c r="G66" s="829">
        <v>27617</v>
      </c>
      <c r="H66" s="519">
        <v>5541</v>
      </c>
      <c r="I66" s="517">
        <v>0</v>
      </c>
      <c r="J66" s="518">
        <v>0</v>
      </c>
      <c r="K66" s="518">
        <v>0</v>
      </c>
      <c r="L66" s="518"/>
      <c r="M66" s="519">
        <v>0</v>
      </c>
      <c r="N66" s="517">
        <v>482788</v>
      </c>
      <c r="O66" s="729">
        <v>248082</v>
      </c>
      <c r="P66" s="518">
        <v>482788</v>
      </c>
      <c r="Q66" s="518">
        <v>115607</v>
      </c>
      <c r="R66" s="519">
        <v>131458</v>
      </c>
      <c r="S66" s="517">
        <v>0</v>
      </c>
      <c r="T66" s="518">
        <v>0</v>
      </c>
      <c r="U66" s="518">
        <v>0</v>
      </c>
      <c r="V66" s="518"/>
      <c r="W66" s="519">
        <v>0</v>
      </c>
      <c r="X66" s="517">
        <f t="shared" ref="X66" si="129">+N66+S66</f>
        <v>482788</v>
      </c>
      <c r="Y66" s="518">
        <f>+O66+T66</f>
        <v>248082</v>
      </c>
      <c r="Z66" s="518">
        <f>+P66+U66</f>
        <v>482788</v>
      </c>
      <c r="AA66" s="518">
        <f>+Q66+V66</f>
        <v>115607</v>
      </c>
      <c r="AB66" s="519">
        <f t="shared" ref="AB66" si="130">+R66+W66</f>
        <v>131458</v>
      </c>
      <c r="AC66" s="517">
        <f>+D66+I66+X66</f>
        <v>697374</v>
      </c>
      <c r="AD66" s="518">
        <v>697374</v>
      </c>
      <c r="AE66" s="518">
        <f t="shared" si="127"/>
        <v>311092</v>
      </c>
      <c r="AF66" s="518">
        <f t="shared" si="127"/>
        <v>697374</v>
      </c>
      <c r="AG66" s="518">
        <f t="shared" si="127"/>
        <v>143224</v>
      </c>
      <c r="AH66" s="519">
        <f t="shared" ref="AH66" si="131">+H66+M66+AB66</f>
        <v>136999</v>
      </c>
      <c r="AI66" s="538" t="s">
        <v>426</v>
      </c>
      <c r="AJ66" s="539" t="s">
        <v>474</v>
      </c>
      <c r="AK66" s="539" t="s">
        <v>434</v>
      </c>
      <c r="AL66" s="539" t="s">
        <v>420</v>
      </c>
      <c r="AM66" s="540" t="s">
        <v>480</v>
      </c>
    </row>
    <row r="67" spans="2:39" ht="13.5" customHeight="1" x14ac:dyDescent="0.3">
      <c r="B67" s="522" t="s">
        <v>186</v>
      </c>
      <c r="C67" s="523" t="s">
        <v>489</v>
      </c>
      <c r="D67" s="501">
        <f>SUM(D68:D72)</f>
        <v>1135922</v>
      </c>
      <c r="E67" s="827">
        <f t="shared" ref="E67:AH67" si="132">SUM(E68:E72)</f>
        <v>514973</v>
      </c>
      <c r="F67" s="501">
        <f t="shared" si="132"/>
        <v>1135922</v>
      </c>
      <c r="G67" s="827">
        <f t="shared" si="132"/>
        <v>470902</v>
      </c>
      <c r="H67" s="501">
        <f t="shared" si="132"/>
        <v>509158</v>
      </c>
      <c r="I67" s="501">
        <f t="shared" si="132"/>
        <v>0</v>
      </c>
      <c r="J67" s="501">
        <f t="shared" si="132"/>
        <v>276</v>
      </c>
      <c r="K67" s="501">
        <f t="shared" si="132"/>
        <v>0</v>
      </c>
      <c r="L67" s="501">
        <f t="shared" si="132"/>
        <v>0</v>
      </c>
      <c r="M67" s="501">
        <f t="shared" si="132"/>
        <v>0</v>
      </c>
      <c r="N67" s="501">
        <f t="shared" si="132"/>
        <v>4841929</v>
      </c>
      <c r="O67" s="501">
        <f t="shared" si="132"/>
        <v>6092713</v>
      </c>
      <c r="P67" s="501">
        <f t="shared" si="132"/>
        <v>4841929</v>
      </c>
      <c r="Q67" s="501">
        <f t="shared" si="132"/>
        <v>5191635</v>
      </c>
      <c r="R67" s="501">
        <f t="shared" si="132"/>
        <v>5152090</v>
      </c>
      <c r="S67" s="501">
        <f t="shared" si="132"/>
        <v>0</v>
      </c>
      <c r="T67" s="501">
        <f t="shared" si="132"/>
        <v>0</v>
      </c>
      <c r="U67" s="501">
        <f t="shared" si="132"/>
        <v>0</v>
      </c>
      <c r="V67" s="501">
        <f t="shared" si="132"/>
        <v>0</v>
      </c>
      <c r="W67" s="501">
        <f t="shared" si="132"/>
        <v>0</v>
      </c>
      <c r="X67" s="501">
        <f t="shared" si="132"/>
        <v>4841929</v>
      </c>
      <c r="Y67" s="501">
        <f t="shared" si="132"/>
        <v>6092713</v>
      </c>
      <c r="Z67" s="501">
        <f t="shared" si="132"/>
        <v>4841929</v>
      </c>
      <c r="AA67" s="501">
        <f t="shared" si="132"/>
        <v>5191635</v>
      </c>
      <c r="AB67" s="501">
        <f t="shared" si="132"/>
        <v>5152090</v>
      </c>
      <c r="AC67" s="501">
        <f t="shared" si="132"/>
        <v>5977851</v>
      </c>
      <c r="AD67" s="501">
        <f t="shared" si="132"/>
        <v>5977851</v>
      </c>
      <c r="AE67" s="501">
        <f t="shared" si="132"/>
        <v>6607962</v>
      </c>
      <c r="AF67" s="501">
        <f t="shared" si="132"/>
        <v>5977851</v>
      </c>
      <c r="AG67" s="501">
        <f t="shared" si="132"/>
        <v>5662537</v>
      </c>
      <c r="AH67" s="501">
        <f t="shared" si="132"/>
        <v>5661248</v>
      </c>
      <c r="AI67" s="524" t="s">
        <v>426</v>
      </c>
      <c r="AJ67" s="525" t="s">
        <v>474</v>
      </c>
      <c r="AK67" s="525"/>
      <c r="AL67" s="525"/>
      <c r="AM67" s="526" t="s">
        <v>69</v>
      </c>
    </row>
    <row r="68" spans="2:39" ht="13.5" customHeight="1" x14ac:dyDescent="0.25">
      <c r="B68" s="713" t="s">
        <v>490</v>
      </c>
      <c r="C68" s="509" t="s">
        <v>491</v>
      </c>
      <c r="D68" s="510">
        <v>330450</v>
      </c>
      <c r="E68" s="828">
        <v>125056</v>
      </c>
      <c r="F68" s="512">
        <v>330450</v>
      </c>
      <c r="G68" s="842">
        <v>136561</v>
      </c>
      <c r="H68" s="513">
        <f>509158*F68/$F$67</f>
        <v>148118.67460970031</v>
      </c>
      <c r="I68" s="510">
        <v>0</v>
      </c>
      <c r="J68" s="511">
        <v>0</v>
      </c>
      <c r="K68" s="512">
        <v>0</v>
      </c>
      <c r="L68" s="512"/>
      <c r="M68" s="513">
        <v>0</v>
      </c>
      <c r="N68" s="510">
        <v>1408794</v>
      </c>
      <c r="O68" s="511">
        <v>1554176</v>
      </c>
      <c r="P68" s="512">
        <v>1408794</v>
      </c>
      <c r="Q68" s="512">
        <v>764785</v>
      </c>
      <c r="R68" s="513">
        <f>5152090*P68/$P$67</f>
        <v>1499037.5694191302</v>
      </c>
      <c r="S68" s="510">
        <v>0</v>
      </c>
      <c r="T68" s="512">
        <v>0</v>
      </c>
      <c r="U68" s="512">
        <v>0</v>
      </c>
      <c r="V68" s="512"/>
      <c r="W68" s="513">
        <v>0</v>
      </c>
      <c r="X68" s="510">
        <f t="shared" ref="X68:AA72" si="133">+N68+S68</f>
        <v>1408794</v>
      </c>
      <c r="Y68" s="512">
        <f t="shared" si="133"/>
        <v>1554176</v>
      </c>
      <c r="Z68" s="512">
        <f t="shared" si="133"/>
        <v>1408794</v>
      </c>
      <c r="AA68" s="512">
        <f t="shared" si="133"/>
        <v>764785</v>
      </c>
      <c r="AB68" s="513">
        <f t="shared" ref="AB68:AB72" si="134">+R68+W68</f>
        <v>1499037.5694191302</v>
      </c>
      <c r="AC68" s="510">
        <f t="shared" si="35"/>
        <v>1739244</v>
      </c>
      <c r="AD68" s="512">
        <v>1739244</v>
      </c>
      <c r="AE68" s="512">
        <f t="shared" ref="AE68:AG72" si="135">+E68+J68+Y68</f>
        <v>1679232</v>
      </c>
      <c r="AF68" s="512">
        <f t="shared" si="135"/>
        <v>1739244</v>
      </c>
      <c r="AG68" s="512">
        <f t="shared" si="135"/>
        <v>901346</v>
      </c>
      <c r="AH68" s="513">
        <f t="shared" ref="AH68:AH72" si="136">+H68+M68+AB68</f>
        <v>1647156.2440288304</v>
      </c>
      <c r="AI68" s="514" t="s">
        <v>426</v>
      </c>
      <c r="AJ68" s="515" t="s">
        <v>474</v>
      </c>
      <c r="AK68" s="515" t="s">
        <v>255</v>
      </c>
      <c r="AL68" s="515" t="s">
        <v>420</v>
      </c>
      <c r="AM68" s="516" t="s">
        <v>69</v>
      </c>
    </row>
    <row r="69" spans="2:39" ht="13.5" customHeight="1" x14ac:dyDescent="0.25">
      <c r="B69" s="713" t="s">
        <v>492</v>
      </c>
      <c r="C69" s="509" t="s">
        <v>493</v>
      </c>
      <c r="D69" s="510">
        <v>330450</v>
      </c>
      <c r="E69" s="828">
        <v>132078</v>
      </c>
      <c r="F69" s="512">
        <v>330450</v>
      </c>
      <c r="G69" s="842">
        <v>136562</v>
      </c>
      <c r="H69" s="513">
        <f t="shared" ref="H69:H72" si="137">509158*F69/$F$67</f>
        <v>148118.67460970031</v>
      </c>
      <c r="I69" s="510">
        <v>0</v>
      </c>
      <c r="J69" s="511">
        <v>0</v>
      </c>
      <c r="K69" s="512">
        <v>0</v>
      </c>
      <c r="L69" s="512"/>
      <c r="M69" s="513">
        <v>0</v>
      </c>
      <c r="N69" s="510">
        <v>1408794</v>
      </c>
      <c r="O69" s="511">
        <v>1811882</v>
      </c>
      <c r="P69" s="512">
        <v>1408794</v>
      </c>
      <c r="Q69" s="512">
        <v>2136817</v>
      </c>
      <c r="R69" s="513">
        <f t="shared" ref="R69:R72" si="138">5152090*P69/$P$67</f>
        <v>1499037.5694191302</v>
      </c>
      <c r="S69" s="510">
        <v>0</v>
      </c>
      <c r="T69" s="512">
        <v>0</v>
      </c>
      <c r="U69" s="512">
        <v>0</v>
      </c>
      <c r="V69" s="512"/>
      <c r="W69" s="513">
        <v>0</v>
      </c>
      <c r="X69" s="510">
        <f t="shared" si="133"/>
        <v>1408794</v>
      </c>
      <c r="Y69" s="512">
        <f t="shared" si="133"/>
        <v>1811882</v>
      </c>
      <c r="Z69" s="512">
        <f t="shared" si="133"/>
        <v>1408794</v>
      </c>
      <c r="AA69" s="512">
        <f t="shared" si="133"/>
        <v>2136817</v>
      </c>
      <c r="AB69" s="513">
        <f t="shared" si="134"/>
        <v>1499037.5694191302</v>
      </c>
      <c r="AC69" s="510">
        <f t="shared" si="35"/>
        <v>1739244</v>
      </c>
      <c r="AD69" s="512">
        <v>1739244</v>
      </c>
      <c r="AE69" s="512">
        <f t="shared" si="135"/>
        <v>1943960</v>
      </c>
      <c r="AF69" s="512">
        <f t="shared" si="135"/>
        <v>1739244</v>
      </c>
      <c r="AG69" s="512">
        <f t="shared" si="135"/>
        <v>2273379</v>
      </c>
      <c r="AH69" s="513">
        <f t="shared" si="136"/>
        <v>1647156.2440288304</v>
      </c>
      <c r="AI69" s="514" t="s">
        <v>426</v>
      </c>
      <c r="AJ69" s="515" t="s">
        <v>474</v>
      </c>
      <c r="AK69" s="515" t="s">
        <v>255</v>
      </c>
      <c r="AL69" s="515" t="s">
        <v>420</v>
      </c>
      <c r="AM69" s="516" t="s">
        <v>69</v>
      </c>
    </row>
    <row r="70" spans="2:39" ht="13.5" customHeight="1" x14ac:dyDescent="0.25">
      <c r="B70" s="713" t="s">
        <v>494</v>
      </c>
      <c r="C70" s="509" t="s">
        <v>495</v>
      </c>
      <c r="D70" s="510">
        <v>154898</v>
      </c>
      <c r="E70" s="828">
        <v>80568</v>
      </c>
      <c r="F70" s="512">
        <v>154898</v>
      </c>
      <c r="G70" s="842">
        <v>65926</v>
      </c>
      <c r="H70" s="513">
        <f t="shared" si="137"/>
        <v>69430.432621253931</v>
      </c>
      <c r="I70" s="510">
        <v>0</v>
      </c>
      <c r="J70" s="511">
        <v>276</v>
      </c>
      <c r="K70" s="512">
        <v>0</v>
      </c>
      <c r="L70" s="512"/>
      <c r="M70" s="513">
        <v>0</v>
      </c>
      <c r="N70" s="510">
        <v>660372</v>
      </c>
      <c r="O70" s="511">
        <v>2048299</v>
      </c>
      <c r="P70" s="512">
        <v>660372</v>
      </c>
      <c r="Q70" s="512">
        <v>746245</v>
      </c>
      <c r="R70" s="513">
        <f t="shared" si="138"/>
        <v>702673.66115446959</v>
      </c>
      <c r="S70" s="510">
        <v>0</v>
      </c>
      <c r="T70" s="512">
        <v>0</v>
      </c>
      <c r="U70" s="512">
        <v>0</v>
      </c>
      <c r="V70" s="512"/>
      <c r="W70" s="513">
        <v>0</v>
      </c>
      <c r="X70" s="510">
        <f t="shared" si="133"/>
        <v>660372</v>
      </c>
      <c r="Y70" s="512">
        <f t="shared" si="133"/>
        <v>2048299</v>
      </c>
      <c r="Z70" s="512">
        <f t="shared" si="133"/>
        <v>660372</v>
      </c>
      <c r="AA70" s="512">
        <f t="shared" si="133"/>
        <v>746245</v>
      </c>
      <c r="AB70" s="513">
        <f t="shared" si="134"/>
        <v>702673.66115446959</v>
      </c>
      <c r="AC70" s="510">
        <f t="shared" si="35"/>
        <v>815270</v>
      </c>
      <c r="AD70" s="512">
        <v>815270</v>
      </c>
      <c r="AE70" s="512">
        <f t="shared" si="135"/>
        <v>2129143</v>
      </c>
      <c r="AF70" s="512">
        <f t="shared" si="135"/>
        <v>815270</v>
      </c>
      <c r="AG70" s="512">
        <f t="shared" si="135"/>
        <v>812171</v>
      </c>
      <c r="AH70" s="513">
        <f t="shared" si="136"/>
        <v>772104.09377572348</v>
      </c>
      <c r="AI70" s="514" t="s">
        <v>426</v>
      </c>
      <c r="AJ70" s="515" t="s">
        <v>474</v>
      </c>
      <c r="AK70" s="515" t="s">
        <v>255</v>
      </c>
      <c r="AL70" s="515" t="s">
        <v>420</v>
      </c>
      <c r="AM70" s="516" t="s">
        <v>69</v>
      </c>
    </row>
    <row r="71" spans="2:39" ht="13.5" customHeight="1" x14ac:dyDescent="0.25">
      <c r="B71" s="713" t="s">
        <v>496</v>
      </c>
      <c r="C71" s="509" t="s">
        <v>497</v>
      </c>
      <c r="D71" s="510">
        <v>103266</v>
      </c>
      <c r="E71" s="828">
        <v>65774</v>
      </c>
      <c r="F71" s="512">
        <v>103266</v>
      </c>
      <c r="G71" s="842">
        <v>42381</v>
      </c>
      <c r="H71" s="513">
        <f t="shared" si="137"/>
        <v>46287.253902996861</v>
      </c>
      <c r="I71" s="510">
        <v>0</v>
      </c>
      <c r="J71" s="511">
        <v>0</v>
      </c>
      <c r="K71" s="512">
        <v>0</v>
      </c>
      <c r="L71" s="512"/>
      <c r="M71" s="513">
        <v>0</v>
      </c>
      <c r="N71" s="510">
        <v>440248</v>
      </c>
      <c r="O71" s="511">
        <v>249473</v>
      </c>
      <c r="P71" s="512">
        <v>440248</v>
      </c>
      <c r="Q71" s="512">
        <v>498927</v>
      </c>
      <c r="R71" s="513">
        <f t="shared" si="138"/>
        <v>468449.10743631306</v>
      </c>
      <c r="S71" s="510">
        <v>0</v>
      </c>
      <c r="T71" s="512">
        <v>0</v>
      </c>
      <c r="U71" s="512">
        <v>0</v>
      </c>
      <c r="V71" s="512"/>
      <c r="W71" s="513">
        <v>0</v>
      </c>
      <c r="X71" s="510">
        <f t="shared" si="133"/>
        <v>440248</v>
      </c>
      <c r="Y71" s="512">
        <f t="shared" si="133"/>
        <v>249473</v>
      </c>
      <c r="Z71" s="512">
        <f t="shared" si="133"/>
        <v>440248</v>
      </c>
      <c r="AA71" s="512">
        <f t="shared" si="133"/>
        <v>498927</v>
      </c>
      <c r="AB71" s="513">
        <f t="shared" si="134"/>
        <v>468449.10743631306</v>
      </c>
      <c r="AC71" s="510">
        <f t="shared" si="35"/>
        <v>543514</v>
      </c>
      <c r="AD71" s="512">
        <v>543514</v>
      </c>
      <c r="AE71" s="512">
        <f t="shared" si="135"/>
        <v>315247</v>
      </c>
      <c r="AF71" s="512">
        <f t="shared" si="135"/>
        <v>543514</v>
      </c>
      <c r="AG71" s="512">
        <f t="shared" si="135"/>
        <v>541308</v>
      </c>
      <c r="AH71" s="513">
        <f t="shared" si="136"/>
        <v>514736.36133930995</v>
      </c>
      <c r="AI71" s="514" t="s">
        <v>426</v>
      </c>
      <c r="AJ71" s="515" t="s">
        <v>474</v>
      </c>
      <c r="AK71" s="515" t="s">
        <v>255</v>
      </c>
      <c r="AL71" s="515" t="s">
        <v>420</v>
      </c>
      <c r="AM71" s="516" t="s">
        <v>69</v>
      </c>
    </row>
    <row r="72" spans="2:39" ht="13.5" customHeight="1" x14ac:dyDescent="0.25">
      <c r="B72" s="713" t="s">
        <v>498</v>
      </c>
      <c r="C72" s="509" t="s">
        <v>499</v>
      </c>
      <c r="D72" s="510">
        <v>216858</v>
      </c>
      <c r="E72" s="828">
        <v>111497</v>
      </c>
      <c r="F72" s="512">
        <v>216858</v>
      </c>
      <c r="G72" s="842">
        <v>89472</v>
      </c>
      <c r="H72" s="513">
        <f t="shared" si="137"/>
        <v>97202.964256348583</v>
      </c>
      <c r="I72" s="510">
        <v>0</v>
      </c>
      <c r="J72" s="511">
        <v>0</v>
      </c>
      <c r="K72" s="512">
        <v>0</v>
      </c>
      <c r="L72" s="512"/>
      <c r="M72" s="513">
        <v>0</v>
      </c>
      <c r="N72" s="510">
        <v>923721</v>
      </c>
      <c r="O72" s="511">
        <v>428883</v>
      </c>
      <c r="P72" s="512">
        <v>923721</v>
      </c>
      <c r="Q72" s="512">
        <v>1044861</v>
      </c>
      <c r="R72" s="513">
        <f t="shared" si="138"/>
        <v>982892.0925709568</v>
      </c>
      <c r="S72" s="510">
        <v>0</v>
      </c>
      <c r="T72" s="512">
        <v>0</v>
      </c>
      <c r="U72" s="512">
        <v>0</v>
      </c>
      <c r="V72" s="512"/>
      <c r="W72" s="513">
        <v>0</v>
      </c>
      <c r="X72" s="510">
        <f t="shared" si="133"/>
        <v>923721</v>
      </c>
      <c r="Y72" s="512">
        <f t="shared" si="133"/>
        <v>428883</v>
      </c>
      <c r="Z72" s="512">
        <f t="shared" si="133"/>
        <v>923721</v>
      </c>
      <c r="AA72" s="512">
        <f t="shared" si="133"/>
        <v>1044861</v>
      </c>
      <c r="AB72" s="513">
        <f t="shared" si="134"/>
        <v>982892.0925709568</v>
      </c>
      <c r="AC72" s="510">
        <f t="shared" si="35"/>
        <v>1140579</v>
      </c>
      <c r="AD72" s="512">
        <v>1140579</v>
      </c>
      <c r="AE72" s="512">
        <f t="shared" si="135"/>
        <v>540380</v>
      </c>
      <c r="AF72" s="512">
        <f t="shared" si="135"/>
        <v>1140579</v>
      </c>
      <c r="AG72" s="512">
        <f t="shared" si="135"/>
        <v>1134333</v>
      </c>
      <c r="AH72" s="513">
        <f t="shared" si="136"/>
        <v>1080095.0568273054</v>
      </c>
      <c r="AI72" s="514" t="s">
        <v>426</v>
      </c>
      <c r="AJ72" s="515" t="s">
        <v>474</v>
      </c>
      <c r="AK72" s="515" t="s">
        <v>255</v>
      </c>
      <c r="AL72" s="515" t="s">
        <v>420</v>
      </c>
      <c r="AM72" s="516" t="s">
        <v>69</v>
      </c>
    </row>
    <row r="73" spans="2:39" ht="13.5" customHeight="1" x14ac:dyDescent="0.3">
      <c r="B73" s="522" t="s">
        <v>500</v>
      </c>
      <c r="C73" s="523" t="s">
        <v>92</v>
      </c>
      <c r="D73" s="501">
        <f>SUM(D74:D76)</f>
        <v>2041021</v>
      </c>
      <c r="E73" s="827">
        <f t="shared" ref="E73:AH73" si="139">SUM(E74:E76)</f>
        <v>714581</v>
      </c>
      <c r="F73" s="501">
        <f t="shared" si="139"/>
        <v>2041021</v>
      </c>
      <c r="G73" s="827">
        <f t="shared" ref="G73" si="140">SUM(G74:G76)</f>
        <v>529553</v>
      </c>
      <c r="H73" s="501">
        <f t="shared" si="139"/>
        <v>487569</v>
      </c>
      <c r="I73" s="501">
        <f t="shared" si="139"/>
        <v>102071</v>
      </c>
      <c r="J73" s="501">
        <f t="shared" si="139"/>
        <v>8319</v>
      </c>
      <c r="K73" s="501">
        <f t="shared" si="139"/>
        <v>102071</v>
      </c>
      <c r="L73" s="501">
        <f t="shared" ref="L73" si="141">SUM(L74:L76)</f>
        <v>100000</v>
      </c>
      <c r="M73" s="501">
        <f t="shared" si="139"/>
        <v>103009</v>
      </c>
      <c r="N73" s="501">
        <f t="shared" si="139"/>
        <v>8178838</v>
      </c>
      <c r="O73" s="501">
        <f t="shared" si="139"/>
        <v>7341958</v>
      </c>
      <c r="P73" s="501">
        <f t="shared" si="139"/>
        <v>8178838</v>
      </c>
      <c r="Q73" s="501">
        <f t="shared" ref="Q73" si="142">SUM(Q74:Q76)</f>
        <v>6401983</v>
      </c>
      <c r="R73" s="501">
        <f t="shared" si="139"/>
        <v>6885909</v>
      </c>
      <c r="S73" s="501">
        <f t="shared" si="139"/>
        <v>446250</v>
      </c>
      <c r="T73" s="501">
        <f t="shared" si="139"/>
        <v>39794.5</v>
      </c>
      <c r="U73" s="501">
        <f t="shared" si="139"/>
        <v>446250</v>
      </c>
      <c r="V73" s="501">
        <f t="shared" ref="V73" si="143">SUM(V74:V76)</f>
        <v>446250</v>
      </c>
      <c r="W73" s="501">
        <f t="shared" si="139"/>
        <v>0</v>
      </c>
      <c r="X73" s="501">
        <f t="shared" si="139"/>
        <v>8625088</v>
      </c>
      <c r="Y73" s="501">
        <f t="shared" si="139"/>
        <v>7381752.5</v>
      </c>
      <c r="Z73" s="501">
        <f t="shared" si="139"/>
        <v>8625088</v>
      </c>
      <c r="AA73" s="501">
        <f t="shared" ref="AA73" si="144">SUM(AA74:AA76)</f>
        <v>6848233</v>
      </c>
      <c r="AB73" s="501">
        <f t="shared" si="139"/>
        <v>6885909</v>
      </c>
      <c r="AC73" s="501">
        <f t="shared" si="139"/>
        <v>10768180</v>
      </c>
      <c r="AD73" s="501">
        <f t="shared" si="139"/>
        <v>10768180</v>
      </c>
      <c r="AE73" s="501">
        <f t="shared" si="139"/>
        <v>8104652.5</v>
      </c>
      <c r="AF73" s="501">
        <f t="shared" si="139"/>
        <v>10768180</v>
      </c>
      <c r="AG73" s="501">
        <f t="shared" ref="AG73" si="145">SUM(AG74:AG76)</f>
        <v>7477786</v>
      </c>
      <c r="AH73" s="501">
        <f t="shared" si="139"/>
        <v>7476487</v>
      </c>
      <c r="AI73" s="524" t="s">
        <v>416</v>
      </c>
      <c r="AJ73" s="525" t="s">
        <v>474</v>
      </c>
      <c r="AK73" s="530"/>
      <c r="AL73" s="530"/>
      <c r="AM73" s="526" t="s">
        <v>501</v>
      </c>
    </row>
    <row r="74" spans="2:39" ht="13.5" customHeight="1" x14ac:dyDescent="0.25">
      <c r="B74" s="713" t="s">
        <v>502</v>
      </c>
      <c r="C74" s="531" t="s">
        <v>503</v>
      </c>
      <c r="D74" s="510">
        <v>360583</v>
      </c>
      <c r="E74" s="828">
        <v>106934</v>
      </c>
      <c r="F74" s="512">
        <v>360583</v>
      </c>
      <c r="G74" s="842">
        <v>90024</v>
      </c>
      <c r="H74" s="513">
        <f>487569*F74/$F$73</f>
        <v>86137.816674595699</v>
      </c>
      <c r="I74" s="521">
        <v>25518</v>
      </c>
      <c r="J74" s="511">
        <v>0</v>
      </c>
      <c r="K74" s="512">
        <v>25518</v>
      </c>
      <c r="L74" s="512">
        <v>17000</v>
      </c>
      <c r="M74" s="513">
        <f>103009*K74/$K$73</f>
        <v>25752.502297420422</v>
      </c>
      <c r="N74" s="521">
        <v>1487158</v>
      </c>
      <c r="O74" s="511">
        <v>1857662</v>
      </c>
      <c r="P74" s="512">
        <v>1487158</v>
      </c>
      <c r="Q74" s="512">
        <v>1258202</v>
      </c>
      <c r="R74" s="513">
        <f>6885909*P74/$P$73</f>
        <v>1252064.7378786572</v>
      </c>
      <c r="S74" s="510">
        <v>0</v>
      </c>
      <c r="T74" s="511">
        <v>40337</v>
      </c>
      <c r="U74" s="512">
        <v>0</v>
      </c>
      <c r="V74" s="512"/>
      <c r="W74" s="513">
        <v>0</v>
      </c>
      <c r="X74" s="510">
        <f t="shared" ref="X74:AA76" si="146">+N74+S74</f>
        <v>1487158</v>
      </c>
      <c r="Y74" s="512">
        <f t="shared" si="146"/>
        <v>1897999</v>
      </c>
      <c r="Z74" s="512">
        <f t="shared" si="146"/>
        <v>1487158</v>
      </c>
      <c r="AA74" s="512">
        <f t="shared" si="146"/>
        <v>1258202</v>
      </c>
      <c r="AB74" s="513">
        <f t="shared" ref="AB74:AB76" si="147">+R74+W74</f>
        <v>1252064.7378786572</v>
      </c>
      <c r="AC74" s="510">
        <f t="shared" si="35"/>
        <v>1873259</v>
      </c>
      <c r="AD74" s="512">
        <v>1873259</v>
      </c>
      <c r="AE74" s="512">
        <f t="shared" ref="AE74:AG76" si="148">+E74+J74+Y74</f>
        <v>2004933</v>
      </c>
      <c r="AF74" s="512">
        <f t="shared" si="148"/>
        <v>1873259</v>
      </c>
      <c r="AG74" s="512">
        <f t="shared" si="148"/>
        <v>1365226</v>
      </c>
      <c r="AH74" s="513">
        <f t="shared" ref="AH74:AH76" si="149">+H74+M74+AB74</f>
        <v>1363955.0568506734</v>
      </c>
      <c r="AI74" s="514" t="s">
        <v>426</v>
      </c>
      <c r="AJ74" s="515" t="s">
        <v>474</v>
      </c>
      <c r="AK74" s="515" t="s">
        <v>434</v>
      </c>
      <c r="AL74" s="515" t="s">
        <v>420</v>
      </c>
      <c r="AM74" s="516" t="s">
        <v>501</v>
      </c>
    </row>
    <row r="75" spans="2:39" ht="13.5" customHeight="1" x14ac:dyDescent="0.25">
      <c r="B75" s="713" t="s">
        <v>504</v>
      </c>
      <c r="C75" s="531" t="s">
        <v>505</v>
      </c>
      <c r="D75" s="510">
        <v>790076</v>
      </c>
      <c r="E75" s="828">
        <v>232428</v>
      </c>
      <c r="F75" s="512">
        <v>790076</v>
      </c>
      <c r="G75" s="842">
        <v>211820</v>
      </c>
      <c r="H75" s="513">
        <f t="shared" ref="H75:H76" si="150">487569*F75/$F$73</f>
        <v>188737.18851692363</v>
      </c>
      <c r="I75" s="521">
        <v>0</v>
      </c>
      <c r="J75" s="511">
        <v>0</v>
      </c>
      <c r="K75" s="512">
        <v>0</v>
      </c>
      <c r="L75" s="512">
        <v>40000</v>
      </c>
      <c r="M75" s="513">
        <f t="shared" ref="M75:M76" si="151">103009*K75/$K$73</f>
        <v>0</v>
      </c>
      <c r="N75" s="521">
        <v>3420082</v>
      </c>
      <c r="O75" s="511">
        <v>3167259</v>
      </c>
      <c r="P75" s="512">
        <v>3420082</v>
      </c>
      <c r="Q75" s="512">
        <v>2492243</v>
      </c>
      <c r="R75" s="513">
        <f t="shared" ref="R75:R76" si="152">6885909*P75/$P$73</f>
        <v>2879427.7896857718</v>
      </c>
      <c r="S75" s="510">
        <v>0</v>
      </c>
      <c r="T75" s="511">
        <v>0</v>
      </c>
      <c r="U75" s="512">
        <v>0</v>
      </c>
      <c r="V75" s="512">
        <v>446250</v>
      </c>
      <c r="W75" s="513">
        <v>0</v>
      </c>
      <c r="X75" s="510">
        <f t="shared" si="146"/>
        <v>3420082</v>
      </c>
      <c r="Y75" s="512">
        <f t="shared" si="146"/>
        <v>3167259</v>
      </c>
      <c r="Z75" s="512">
        <f t="shared" si="146"/>
        <v>3420082</v>
      </c>
      <c r="AA75" s="512">
        <f t="shared" si="146"/>
        <v>2938493</v>
      </c>
      <c r="AB75" s="513">
        <f t="shared" si="147"/>
        <v>2879427.7896857718</v>
      </c>
      <c r="AC75" s="510">
        <f t="shared" si="35"/>
        <v>4210158</v>
      </c>
      <c r="AD75" s="512">
        <v>4210158</v>
      </c>
      <c r="AE75" s="512">
        <f t="shared" si="148"/>
        <v>3399687</v>
      </c>
      <c r="AF75" s="512">
        <f t="shared" si="148"/>
        <v>4210158</v>
      </c>
      <c r="AG75" s="512">
        <f t="shared" si="148"/>
        <v>3190313</v>
      </c>
      <c r="AH75" s="513">
        <f t="shared" si="149"/>
        <v>3068164.9782026955</v>
      </c>
      <c r="AI75" s="514" t="s">
        <v>426</v>
      </c>
      <c r="AJ75" s="515" t="s">
        <v>474</v>
      </c>
      <c r="AK75" s="515" t="s">
        <v>434</v>
      </c>
      <c r="AL75" s="515" t="s">
        <v>420</v>
      </c>
      <c r="AM75" s="516" t="s">
        <v>501</v>
      </c>
    </row>
    <row r="76" spans="2:39" ht="13.5" customHeight="1" x14ac:dyDescent="0.25">
      <c r="B76" s="713" t="s">
        <v>506</v>
      </c>
      <c r="C76" s="531" t="s">
        <v>507</v>
      </c>
      <c r="D76" s="510">
        <v>890362</v>
      </c>
      <c r="E76" s="828">
        <v>375219</v>
      </c>
      <c r="F76" s="512">
        <v>890362</v>
      </c>
      <c r="G76" s="842">
        <v>227709</v>
      </c>
      <c r="H76" s="513">
        <f t="shared" si="150"/>
        <v>212693.99480848067</v>
      </c>
      <c r="I76" s="521">
        <v>76553</v>
      </c>
      <c r="J76" s="511">
        <v>8319</v>
      </c>
      <c r="K76" s="512">
        <v>76553</v>
      </c>
      <c r="L76" s="512">
        <v>43000</v>
      </c>
      <c r="M76" s="513">
        <f t="shared" si="151"/>
        <v>77256.497702579582</v>
      </c>
      <c r="N76" s="521">
        <v>3271598</v>
      </c>
      <c r="O76" s="511">
        <v>2317037</v>
      </c>
      <c r="P76" s="512">
        <v>3271598</v>
      </c>
      <c r="Q76" s="512">
        <v>2651538</v>
      </c>
      <c r="R76" s="513">
        <f t="shared" si="152"/>
        <v>2754416.4724355708</v>
      </c>
      <c r="S76" s="510">
        <v>446250</v>
      </c>
      <c r="T76" s="511">
        <v>-542.5</v>
      </c>
      <c r="U76" s="512">
        <v>446250</v>
      </c>
      <c r="V76" s="512"/>
      <c r="W76" s="513">
        <v>0</v>
      </c>
      <c r="X76" s="510">
        <f t="shared" si="146"/>
        <v>3717848</v>
      </c>
      <c r="Y76" s="512">
        <f t="shared" si="146"/>
        <v>2316494.5</v>
      </c>
      <c r="Z76" s="512">
        <f t="shared" si="146"/>
        <v>3717848</v>
      </c>
      <c r="AA76" s="512">
        <f t="shared" si="146"/>
        <v>2651538</v>
      </c>
      <c r="AB76" s="513">
        <f t="shared" si="147"/>
        <v>2754416.4724355708</v>
      </c>
      <c r="AC76" s="510">
        <f t="shared" si="35"/>
        <v>4684763</v>
      </c>
      <c r="AD76" s="512">
        <v>4684763</v>
      </c>
      <c r="AE76" s="512">
        <f t="shared" si="148"/>
        <v>2700032.5</v>
      </c>
      <c r="AF76" s="512">
        <f t="shared" si="148"/>
        <v>4684763</v>
      </c>
      <c r="AG76" s="512">
        <f t="shared" si="148"/>
        <v>2922247</v>
      </c>
      <c r="AH76" s="513">
        <f t="shared" si="149"/>
        <v>3044366.9649466309</v>
      </c>
      <c r="AI76" s="514" t="s">
        <v>416</v>
      </c>
      <c r="AJ76" s="515" t="s">
        <v>474</v>
      </c>
      <c r="AK76" s="515" t="s">
        <v>434</v>
      </c>
      <c r="AL76" s="515" t="s">
        <v>420</v>
      </c>
      <c r="AM76" s="516" t="s">
        <v>501</v>
      </c>
    </row>
    <row r="77" spans="2:39" ht="13.5" customHeight="1" x14ac:dyDescent="0.3">
      <c r="B77" s="522" t="s">
        <v>508</v>
      </c>
      <c r="C77" s="523" t="s">
        <v>509</v>
      </c>
      <c r="D77" s="501">
        <f>SUM(D78:D80)</f>
        <v>1516167</v>
      </c>
      <c r="E77" s="827">
        <f t="shared" ref="E77:AH77" si="153">SUM(E78:E80)</f>
        <v>1173147</v>
      </c>
      <c r="F77" s="501">
        <f t="shared" si="153"/>
        <v>1516167</v>
      </c>
      <c r="G77" s="827">
        <f t="shared" ref="G77" si="154">SUM(G78:G80)</f>
        <v>398625</v>
      </c>
      <c r="H77" s="501">
        <f t="shared" si="153"/>
        <v>291187</v>
      </c>
      <c r="I77" s="501">
        <f t="shared" si="153"/>
        <v>303808</v>
      </c>
      <c r="J77" s="501">
        <f t="shared" si="153"/>
        <v>344777</v>
      </c>
      <c r="K77" s="501">
        <f t="shared" si="153"/>
        <v>303808</v>
      </c>
      <c r="L77" s="501">
        <f t="shared" ref="L77" si="155">SUM(L78:L80)</f>
        <v>282710</v>
      </c>
      <c r="M77" s="501">
        <f t="shared" si="153"/>
        <v>0</v>
      </c>
      <c r="N77" s="501">
        <f t="shared" si="153"/>
        <v>7255450</v>
      </c>
      <c r="O77" s="501">
        <f t="shared" si="153"/>
        <v>8516772</v>
      </c>
      <c r="P77" s="501">
        <f t="shared" si="153"/>
        <v>7255450</v>
      </c>
      <c r="Q77" s="501">
        <f t="shared" ref="Q77" si="156">SUM(Q78:Q80)</f>
        <v>5890949</v>
      </c>
      <c r="R77" s="501">
        <f t="shared" si="153"/>
        <v>4553918</v>
      </c>
      <c r="S77" s="501">
        <f t="shared" si="153"/>
        <v>89231</v>
      </c>
      <c r="T77" s="501">
        <f t="shared" si="153"/>
        <v>0</v>
      </c>
      <c r="U77" s="501">
        <f t="shared" si="153"/>
        <v>89231</v>
      </c>
      <c r="V77" s="501">
        <f t="shared" ref="V77" si="157">SUM(V78:V80)</f>
        <v>97497</v>
      </c>
      <c r="W77" s="501">
        <f t="shared" si="153"/>
        <v>0</v>
      </c>
      <c r="X77" s="501">
        <f t="shared" si="153"/>
        <v>7344681</v>
      </c>
      <c r="Y77" s="501">
        <f t="shared" si="153"/>
        <v>8516772</v>
      </c>
      <c r="Z77" s="501">
        <f t="shared" si="153"/>
        <v>7344681</v>
      </c>
      <c r="AA77" s="501">
        <f t="shared" ref="AA77" si="158">SUM(AA78:AA80)</f>
        <v>5988446</v>
      </c>
      <c r="AB77" s="501">
        <f t="shared" si="153"/>
        <v>4553918</v>
      </c>
      <c r="AC77" s="501">
        <f t="shared" si="153"/>
        <v>9164656</v>
      </c>
      <c r="AD77" s="501">
        <f t="shared" si="153"/>
        <v>9164656</v>
      </c>
      <c r="AE77" s="501">
        <f t="shared" si="153"/>
        <v>10034696</v>
      </c>
      <c r="AF77" s="501">
        <f t="shared" si="153"/>
        <v>9164656</v>
      </c>
      <c r="AG77" s="501">
        <f t="shared" ref="AG77" si="159">SUM(AG78:AG80)</f>
        <v>6669781</v>
      </c>
      <c r="AH77" s="501">
        <f t="shared" si="153"/>
        <v>4845105</v>
      </c>
      <c r="AI77" s="524" t="s">
        <v>416</v>
      </c>
      <c r="AJ77" s="525" t="s">
        <v>474</v>
      </c>
      <c r="AK77" s="530"/>
      <c r="AL77" s="530"/>
      <c r="AM77" s="526" t="s">
        <v>510</v>
      </c>
    </row>
    <row r="78" spans="2:39" ht="13.5" customHeight="1" x14ac:dyDescent="0.25">
      <c r="B78" s="713" t="s">
        <v>511</v>
      </c>
      <c r="C78" s="531" t="s">
        <v>72</v>
      </c>
      <c r="D78" s="510">
        <v>181671</v>
      </c>
      <c r="E78" s="828">
        <v>400542</v>
      </c>
      <c r="F78" s="512">
        <v>181671</v>
      </c>
      <c r="G78" s="842">
        <v>203038</v>
      </c>
      <c r="H78" s="513">
        <v>189807</v>
      </c>
      <c r="I78" s="521">
        <v>15311</v>
      </c>
      <c r="J78" s="511">
        <v>3903</v>
      </c>
      <c r="K78" s="512">
        <v>15311</v>
      </c>
      <c r="L78" s="512"/>
      <c r="M78" s="513">
        <v>0</v>
      </c>
      <c r="N78" s="521">
        <v>5417146</v>
      </c>
      <c r="O78" s="511">
        <v>5947580</v>
      </c>
      <c r="P78" s="512">
        <v>5417146</v>
      </c>
      <c r="Q78" s="512">
        <v>4284437</v>
      </c>
      <c r="R78" s="513">
        <v>4159762</v>
      </c>
      <c r="S78" s="510">
        <v>0</v>
      </c>
      <c r="T78" s="512">
        <v>0</v>
      </c>
      <c r="U78" s="512">
        <v>0</v>
      </c>
      <c r="V78" s="512"/>
      <c r="W78" s="513">
        <v>0</v>
      </c>
      <c r="X78" s="510">
        <f t="shared" ref="X78:AA80" si="160">+N78+S78</f>
        <v>5417146</v>
      </c>
      <c r="Y78" s="512">
        <f t="shared" si="160"/>
        <v>5947580</v>
      </c>
      <c r="Z78" s="512">
        <f t="shared" si="160"/>
        <v>5417146</v>
      </c>
      <c r="AA78" s="512">
        <f t="shared" si="160"/>
        <v>4284437</v>
      </c>
      <c r="AB78" s="513">
        <f t="shared" ref="AB78:AB80" si="161">+R78+W78</f>
        <v>4159762</v>
      </c>
      <c r="AC78" s="510">
        <f t="shared" si="35"/>
        <v>5614128</v>
      </c>
      <c r="AD78" s="512">
        <v>5614128</v>
      </c>
      <c r="AE78" s="512">
        <f t="shared" ref="AE78:AG80" si="162">+E78+J78+Y78</f>
        <v>6352025</v>
      </c>
      <c r="AF78" s="512">
        <f t="shared" si="162"/>
        <v>5614128</v>
      </c>
      <c r="AG78" s="512">
        <f t="shared" si="162"/>
        <v>4487475</v>
      </c>
      <c r="AH78" s="513">
        <f t="shared" ref="AH78:AH80" si="163">+H78+M78+AB78</f>
        <v>4349569</v>
      </c>
      <c r="AI78" s="514" t="s">
        <v>426</v>
      </c>
      <c r="AJ78" s="515" t="s">
        <v>474</v>
      </c>
      <c r="AK78" s="515" t="s">
        <v>434</v>
      </c>
      <c r="AL78" s="515" t="s">
        <v>423</v>
      </c>
      <c r="AM78" s="516" t="s">
        <v>510</v>
      </c>
    </row>
    <row r="79" spans="2:39" ht="13.5" customHeight="1" x14ac:dyDescent="0.25">
      <c r="B79" s="713" t="s">
        <v>512</v>
      </c>
      <c r="C79" s="531" t="s">
        <v>6</v>
      </c>
      <c r="D79" s="510">
        <v>1326783</v>
      </c>
      <c r="E79" s="828">
        <v>767074</v>
      </c>
      <c r="F79" s="512">
        <v>1326783</v>
      </c>
      <c r="G79" s="842">
        <v>190660</v>
      </c>
      <c r="H79" s="513">
        <v>101380</v>
      </c>
      <c r="I79" s="521">
        <v>288497</v>
      </c>
      <c r="J79" s="511">
        <v>340874</v>
      </c>
      <c r="K79" s="512">
        <v>288497</v>
      </c>
      <c r="L79" s="512">
        <v>282710</v>
      </c>
      <c r="M79" s="513">
        <v>0</v>
      </c>
      <c r="N79" s="521">
        <v>1721656</v>
      </c>
      <c r="O79" s="511">
        <v>2540046</v>
      </c>
      <c r="P79" s="512">
        <v>1721656</v>
      </c>
      <c r="Q79" s="512">
        <v>1509756</v>
      </c>
      <c r="R79" s="513">
        <v>394156</v>
      </c>
      <c r="S79" s="510">
        <v>89231</v>
      </c>
      <c r="T79" s="512">
        <v>0</v>
      </c>
      <c r="U79" s="512">
        <v>89231</v>
      </c>
      <c r="V79" s="512">
        <v>97497</v>
      </c>
      <c r="W79" s="513">
        <v>0</v>
      </c>
      <c r="X79" s="510">
        <f t="shared" si="160"/>
        <v>1810887</v>
      </c>
      <c r="Y79" s="512">
        <f t="shared" si="160"/>
        <v>2540046</v>
      </c>
      <c r="Z79" s="512">
        <f t="shared" si="160"/>
        <v>1810887</v>
      </c>
      <c r="AA79" s="512">
        <f t="shared" si="160"/>
        <v>1607253</v>
      </c>
      <c r="AB79" s="513">
        <f t="shared" si="161"/>
        <v>394156</v>
      </c>
      <c r="AC79" s="510">
        <f t="shared" si="35"/>
        <v>3426167</v>
      </c>
      <c r="AD79" s="512">
        <v>3426167</v>
      </c>
      <c r="AE79" s="512">
        <f t="shared" si="162"/>
        <v>3647994</v>
      </c>
      <c r="AF79" s="512">
        <f t="shared" si="162"/>
        <v>3426167</v>
      </c>
      <c r="AG79" s="512">
        <f t="shared" si="162"/>
        <v>2080623</v>
      </c>
      <c r="AH79" s="513">
        <f t="shared" si="163"/>
        <v>495536</v>
      </c>
      <c r="AI79" s="514" t="s">
        <v>513</v>
      </c>
      <c r="AJ79" s="515" t="s">
        <v>474</v>
      </c>
      <c r="AK79" s="515" t="s">
        <v>434</v>
      </c>
      <c r="AL79" s="515" t="s">
        <v>423</v>
      </c>
      <c r="AM79" s="516" t="s">
        <v>510</v>
      </c>
    </row>
    <row r="80" spans="2:39" ht="13.5" customHeight="1" x14ac:dyDescent="0.25">
      <c r="B80" s="713" t="s">
        <v>514</v>
      </c>
      <c r="C80" s="531" t="s">
        <v>73</v>
      </c>
      <c r="D80" s="510">
        <v>7713</v>
      </c>
      <c r="E80" s="828">
        <v>5531</v>
      </c>
      <c r="F80" s="512">
        <v>7713</v>
      </c>
      <c r="G80" s="842">
        <v>4927</v>
      </c>
      <c r="H80" s="513">
        <v>0</v>
      </c>
      <c r="I80" s="521">
        <v>0</v>
      </c>
      <c r="J80" s="511">
        <v>0</v>
      </c>
      <c r="K80" s="512">
        <v>0</v>
      </c>
      <c r="L80" s="512"/>
      <c r="M80" s="513">
        <v>0</v>
      </c>
      <c r="N80" s="521">
        <v>116648</v>
      </c>
      <c r="O80" s="511">
        <v>29146</v>
      </c>
      <c r="P80" s="512">
        <v>116648</v>
      </c>
      <c r="Q80" s="512">
        <v>96756</v>
      </c>
      <c r="R80" s="513">
        <v>0</v>
      </c>
      <c r="S80" s="510">
        <v>0</v>
      </c>
      <c r="T80" s="512">
        <v>0</v>
      </c>
      <c r="U80" s="512">
        <v>0</v>
      </c>
      <c r="V80" s="512"/>
      <c r="W80" s="513">
        <v>0</v>
      </c>
      <c r="X80" s="510">
        <f t="shared" si="160"/>
        <v>116648</v>
      </c>
      <c r="Y80" s="512">
        <f t="shared" si="160"/>
        <v>29146</v>
      </c>
      <c r="Z80" s="512">
        <f t="shared" si="160"/>
        <v>116648</v>
      </c>
      <c r="AA80" s="512">
        <f t="shared" si="160"/>
        <v>96756</v>
      </c>
      <c r="AB80" s="513">
        <f t="shared" si="161"/>
        <v>0</v>
      </c>
      <c r="AC80" s="510">
        <f t="shared" si="35"/>
        <v>124361</v>
      </c>
      <c r="AD80" s="512">
        <v>124361</v>
      </c>
      <c r="AE80" s="512">
        <f t="shared" si="162"/>
        <v>34677</v>
      </c>
      <c r="AF80" s="512">
        <f t="shared" si="162"/>
        <v>124361</v>
      </c>
      <c r="AG80" s="512">
        <f t="shared" si="162"/>
        <v>101683</v>
      </c>
      <c r="AH80" s="513">
        <f t="shared" si="163"/>
        <v>0</v>
      </c>
      <c r="AI80" s="514" t="s">
        <v>426</v>
      </c>
      <c r="AJ80" s="515" t="s">
        <v>474</v>
      </c>
      <c r="AK80" s="515" t="s">
        <v>434</v>
      </c>
      <c r="AL80" s="515" t="s">
        <v>431</v>
      </c>
      <c r="AM80" s="516" t="s">
        <v>510</v>
      </c>
    </row>
    <row r="81" spans="2:39" ht="13.5" customHeight="1" x14ac:dyDescent="0.25">
      <c r="B81" s="522" t="s">
        <v>518</v>
      </c>
      <c r="C81" s="523" t="s">
        <v>519</v>
      </c>
      <c r="D81" s="501">
        <f t="shared" ref="D81:AH81" si="164">SUM(D82:D108)</f>
        <v>1627964.99</v>
      </c>
      <c r="E81" s="827">
        <f t="shared" si="164"/>
        <v>2504832</v>
      </c>
      <c r="F81" s="501">
        <f t="shared" si="164"/>
        <v>1627964.99</v>
      </c>
      <c r="G81" s="827">
        <f t="shared" ref="G81" si="165">SUM(G82:G108)</f>
        <v>1170900</v>
      </c>
      <c r="H81" s="501">
        <f t="shared" si="164"/>
        <v>1355575</v>
      </c>
      <c r="I81" s="501">
        <f t="shared" si="164"/>
        <v>667831</v>
      </c>
      <c r="J81" s="501">
        <f t="shared" si="164"/>
        <v>422670</v>
      </c>
      <c r="K81" s="501">
        <f t="shared" si="164"/>
        <v>667831</v>
      </c>
      <c r="L81" s="501">
        <f t="shared" ref="L81" si="166">SUM(L82:L108)</f>
        <v>289814</v>
      </c>
      <c r="M81" s="501">
        <f t="shared" si="164"/>
        <v>225517</v>
      </c>
      <c r="N81" s="501">
        <f t="shared" si="164"/>
        <v>5268882.0999999996</v>
      </c>
      <c r="O81" s="501">
        <f t="shared" si="164"/>
        <v>6639659</v>
      </c>
      <c r="P81" s="501">
        <f t="shared" si="164"/>
        <v>5268882.0999999996</v>
      </c>
      <c r="Q81" s="501">
        <f t="shared" ref="Q81" si="167">SUM(Q82:Q108)</f>
        <v>5871264</v>
      </c>
      <c r="R81" s="501">
        <f t="shared" si="164"/>
        <v>6053396</v>
      </c>
      <c r="S81" s="501">
        <f t="shared" si="164"/>
        <v>5194182</v>
      </c>
      <c r="T81" s="501">
        <f t="shared" si="164"/>
        <v>2371271</v>
      </c>
      <c r="U81" s="501">
        <f t="shared" si="164"/>
        <v>5194182</v>
      </c>
      <c r="V81" s="501">
        <f t="shared" ref="V81" si="168">SUM(V82:V108)</f>
        <v>5301712</v>
      </c>
      <c r="W81" s="501">
        <f t="shared" si="164"/>
        <v>6063351</v>
      </c>
      <c r="X81" s="501">
        <f t="shared" si="164"/>
        <v>10463064.100000001</v>
      </c>
      <c r="Y81" s="501">
        <f t="shared" si="164"/>
        <v>9010930</v>
      </c>
      <c r="Z81" s="501">
        <f t="shared" si="164"/>
        <v>10463064.100000001</v>
      </c>
      <c r="AA81" s="501">
        <f t="shared" ref="AA81" si="169">SUM(AA82:AA108)</f>
        <v>11172976</v>
      </c>
      <c r="AB81" s="501">
        <f t="shared" si="164"/>
        <v>12116747</v>
      </c>
      <c r="AC81" s="501">
        <f t="shared" si="164"/>
        <v>12758860.089999998</v>
      </c>
      <c r="AD81" s="501">
        <f t="shared" si="164"/>
        <v>10510110.089999998</v>
      </c>
      <c r="AE81" s="501">
        <f t="shared" si="164"/>
        <v>11938432</v>
      </c>
      <c r="AF81" s="501">
        <f t="shared" si="164"/>
        <v>12758860.089999998</v>
      </c>
      <c r="AG81" s="501">
        <f t="shared" ref="AG81" si="170">SUM(AG82:AG108)</f>
        <v>12633690</v>
      </c>
      <c r="AH81" s="501">
        <f t="shared" si="164"/>
        <v>13697839</v>
      </c>
      <c r="AI81" s="524" t="s">
        <v>520</v>
      </c>
      <c r="AJ81" s="525" t="s">
        <v>520</v>
      </c>
      <c r="AK81" s="530"/>
      <c r="AL81" s="530"/>
      <c r="AM81" s="526" t="s">
        <v>521</v>
      </c>
    </row>
    <row r="82" spans="2:39" ht="13.5" customHeight="1" x14ac:dyDescent="0.25">
      <c r="B82" s="711" t="s">
        <v>182</v>
      </c>
      <c r="C82" s="509" t="s">
        <v>519</v>
      </c>
      <c r="D82" s="510"/>
      <c r="E82" s="828">
        <v>-59859</v>
      </c>
      <c r="F82" s="512">
        <v>0</v>
      </c>
      <c r="G82" s="842">
        <v>4279</v>
      </c>
      <c r="H82" s="532">
        <v>80293</v>
      </c>
      <c r="I82" s="510"/>
      <c r="J82" s="511">
        <v>0</v>
      </c>
      <c r="K82" s="512">
        <v>0</v>
      </c>
      <c r="L82" s="512"/>
      <c r="M82" s="532">
        <v>7396</v>
      </c>
      <c r="N82" s="510"/>
      <c r="O82" s="511">
        <v>24457</v>
      </c>
      <c r="P82" s="512">
        <v>0</v>
      </c>
      <c r="Q82" s="512"/>
      <c r="R82" s="532">
        <v>714082</v>
      </c>
      <c r="S82" s="510"/>
      <c r="T82" s="511">
        <v>0</v>
      </c>
      <c r="U82" s="512">
        <v>0</v>
      </c>
      <c r="V82" s="512">
        <v>1530597</v>
      </c>
      <c r="W82" s="532">
        <v>264000</v>
      </c>
      <c r="X82" s="510">
        <f t="shared" ref="X82:X108" si="171">+N82+S82</f>
        <v>0</v>
      </c>
      <c r="Y82" s="512">
        <f t="shared" ref="Y82:Y108" si="172">+O82+T82</f>
        <v>24457</v>
      </c>
      <c r="Z82" s="512">
        <f t="shared" ref="Z82:AA108" si="173">+P82+U82</f>
        <v>0</v>
      </c>
      <c r="AA82" s="512">
        <f t="shared" si="173"/>
        <v>1530597</v>
      </c>
      <c r="AB82" s="513">
        <f t="shared" ref="AB82:AB108" si="174">+R82+W82</f>
        <v>978082</v>
      </c>
      <c r="AC82" s="510">
        <f t="shared" si="35"/>
        <v>0</v>
      </c>
      <c r="AD82" s="512">
        <v>0</v>
      </c>
      <c r="AE82" s="512">
        <f t="shared" ref="AE82:AE108" si="175">+E82+J82+Y82</f>
        <v>-35402</v>
      </c>
      <c r="AF82" s="512">
        <f t="shared" ref="AF82:AG108" si="176">+F82+K82+Z82</f>
        <v>0</v>
      </c>
      <c r="AG82" s="512">
        <f t="shared" si="176"/>
        <v>1534876</v>
      </c>
      <c r="AH82" s="513">
        <f t="shared" ref="AH82:AH108" si="177">+H82+M82+AB82</f>
        <v>1065771</v>
      </c>
      <c r="AI82" s="514" t="s">
        <v>520</v>
      </c>
      <c r="AJ82" s="515" t="s">
        <v>474</v>
      </c>
      <c r="AK82" s="515" t="s">
        <v>419</v>
      </c>
      <c r="AL82" s="515" t="s">
        <v>420</v>
      </c>
      <c r="AM82" s="516" t="s">
        <v>521</v>
      </c>
    </row>
    <row r="83" spans="2:39" ht="13.5" customHeight="1" x14ac:dyDescent="0.25">
      <c r="B83" s="710" t="s">
        <v>181</v>
      </c>
      <c r="C83" s="509" t="s">
        <v>42</v>
      </c>
      <c r="D83" s="510">
        <v>12031.61</v>
      </c>
      <c r="E83" s="828">
        <v>5943</v>
      </c>
      <c r="F83" s="512">
        <v>12031.61</v>
      </c>
      <c r="G83" s="842">
        <v>0</v>
      </c>
      <c r="H83" s="513">
        <v>0</v>
      </c>
      <c r="I83" s="510">
        <v>7635</v>
      </c>
      <c r="J83" s="511">
        <v>0</v>
      </c>
      <c r="K83" s="512">
        <v>7635</v>
      </c>
      <c r="L83" s="512">
        <v>0</v>
      </c>
      <c r="M83" s="513">
        <v>0</v>
      </c>
      <c r="N83" s="510">
        <v>58175.9</v>
      </c>
      <c r="O83" s="511">
        <v>41824</v>
      </c>
      <c r="P83" s="512">
        <v>58175.9</v>
      </c>
      <c r="Q83" s="512">
        <v>0</v>
      </c>
      <c r="R83" s="513">
        <v>0</v>
      </c>
      <c r="S83" s="510">
        <v>26350</v>
      </c>
      <c r="T83" s="511">
        <v>0</v>
      </c>
      <c r="U83" s="512">
        <v>26350</v>
      </c>
      <c r="V83" s="512">
        <v>0</v>
      </c>
      <c r="W83" s="513">
        <v>0</v>
      </c>
      <c r="X83" s="510">
        <f t="shared" si="171"/>
        <v>84525.9</v>
      </c>
      <c r="Y83" s="512">
        <f t="shared" si="172"/>
        <v>41824</v>
      </c>
      <c r="Z83" s="512">
        <f t="shared" si="173"/>
        <v>84525.9</v>
      </c>
      <c r="AA83" s="512">
        <f t="shared" si="173"/>
        <v>0</v>
      </c>
      <c r="AB83" s="513">
        <f t="shared" si="174"/>
        <v>0</v>
      </c>
      <c r="AC83" s="510">
        <f t="shared" si="35"/>
        <v>104192.51</v>
      </c>
      <c r="AD83" s="512">
        <v>104192.51</v>
      </c>
      <c r="AE83" s="512">
        <f t="shared" si="175"/>
        <v>47767</v>
      </c>
      <c r="AF83" s="512">
        <f t="shared" si="176"/>
        <v>104192.51</v>
      </c>
      <c r="AG83" s="512">
        <f t="shared" si="176"/>
        <v>0</v>
      </c>
      <c r="AH83" s="513">
        <f t="shared" si="177"/>
        <v>0</v>
      </c>
      <c r="AI83" s="514" t="s">
        <v>520</v>
      </c>
      <c r="AJ83" s="515" t="s">
        <v>474</v>
      </c>
      <c r="AK83" s="515" t="s">
        <v>419</v>
      </c>
      <c r="AL83" s="515" t="s">
        <v>431</v>
      </c>
      <c r="AM83" s="516" t="s">
        <v>521</v>
      </c>
    </row>
    <row r="84" spans="2:39" ht="13.5" customHeight="1" x14ac:dyDescent="0.25">
      <c r="B84" s="710" t="s">
        <v>522</v>
      </c>
      <c r="C84" s="509" t="s">
        <v>43</v>
      </c>
      <c r="D84" s="510">
        <v>31794.65</v>
      </c>
      <c r="E84" s="828">
        <v>29714</v>
      </c>
      <c r="F84" s="512">
        <v>31794.65</v>
      </c>
      <c r="G84" s="842">
        <v>31103</v>
      </c>
      <c r="H84" s="513">
        <v>103524</v>
      </c>
      <c r="I84" s="510">
        <v>21435</v>
      </c>
      <c r="J84" s="511">
        <v>5813</v>
      </c>
      <c r="K84" s="512">
        <v>21435</v>
      </c>
      <c r="L84" s="512">
        <v>5813</v>
      </c>
      <c r="M84" s="513">
        <v>5559</v>
      </c>
      <c r="N84" s="510">
        <v>94749</v>
      </c>
      <c r="O84" s="511">
        <v>94143</v>
      </c>
      <c r="P84" s="512">
        <v>94749</v>
      </c>
      <c r="Q84" s="512">
        <v>101652</v>
      </c>
      <c r="R84" s="513">
        <v>109279</v>
      </c>
      <c r="S84" s="510">
        <v>134400</v>
      </c>
      <c r="T84" s="511">
        <v>21640</v>
      </c>
      <c r="U84" s="512">
        <v>134400</v>
      </c>
      <c r="V84" s="512">
        <v>2026595</v>
      </c>
      <c r="W84" s="513">
        <v>1185395</v>
      </c>
      <c r="X84" s="510">
        <f t="shared" si="171"/>
        <v>229149</v>
      </c>
      <c r="Y84" s="512">
        <f t="shared" si="172"/>
        <v>115783</v>
      </c>
      <c r="Z84" s="512">
        <f t="shared" si="173"/>
        <v>229149</v>
      </c>
      <c r="AA84" s="512">
        <f t="shared" si="173"/>
        <v>2128247</v>
      </c>
      <c r="AB84" s="513">
        <f t="shared" si="174"/>
        <v>1294674</v>
      </c>
      <c r="AC84" s="510">
        <f t="shared" si="35"/>
        <v>282378.65000000002</v>
      </c>
      <c r="AD84" s="512">
        <v>282378.65000000002</v>
      </c>
      <c r="AE84" s="512">
        <f t="shared" si="175"/>
        <v>151310</v>
      </c>
      <c r="AF84" s="512">
        <f t="shared" si="176"/>
        <v>282378.65000000002</v>
      </c>
      <c r="AG84" s="512">
        <f t="shared" si="176"/>
        <v>2165163</v>
      </c>
      <c r="AH84" s="513">
        <f t="shared" si="177"/>
        <v>1403757</v>
      </c>
      <c r="AI84" s="514" t="s">
        <v>520</v>
      </c>
      <c r="AJ84" s="515" t="s">
        <v>474</v>
      </c>
      <c r="AK84" s="515" t="s">
        <v>419</v>
      </c>
      <c r="AL84" s="515" t="s">
        <v>420</v>
      </c>
      <c r="AM84" s="516" t="s">
        <v>521</v>
      </c>
    </row>
    <row r="85" spans="2:39" ht="13.5" customHeight="1" x14ac:dyDescent="0.25">
      <c r="B85" s="710" t="s">
        <v>523</v>
      </c>
      <c r="C85" s="509" t="s">
        <v>44</v>
      </c>
      <c r="D85" s="510">
        <v>31505.41</v>
      </c>
      <c r="E85" s="828">
        <v>23066</v>
      </c>
      <c r="F85" s="512">
        <v>31505.41</v>
      </c>
      <c r="G85" s="842">
        <v>18333</v>
      </c>
      <c r="H85" s="513">
        <v>22791</v>
      </c>
      <c r="I85" s="510">
        <v>7910</v>
      </c>
      <c r="J85" s="511">
        <v>1718</v>
      </c>
      <c r="K85" s="512">
        <v>7910</v>
      </c>
      <c r="L85" s="512">
        <v>1716</v>
      </c>
      <c r="M85" s="513">
        <v>1640</v>
      </c>
      <c r="N85" s="510">
        <v>76090.7</v>
      </c>
      <c r="O85" s="511">
        <v>44515</v>
      </c>
      <c r="P85" s="512">
        <v>76090.7</v>
      </c>
      <c r="Q85" s="512">
        <v>73928</v>
      </c>
      <c r="R85" s="513">
        <v>66275</v>
      </c>
      <c r="S85" s="510">
        <v>57800</v>
      </c>
      <c r="T85" s="511">
        <v>11241</v>
      </c>
      <c r="U85" s="512">
        <v>57800</v>
      </c>
      <c r="V85" s="512">
        <v>8134</v>
      </c>
      <c r="W85" s="513">
        <v>132737</v>
      </c>
      <c r="X85" s="510">
        <f t="shared" si="171"/>
        <v>133890.70000000001</v>
      </c>
      <c r="Y85" s="512">
        <f t="shared" si="172"/>
        <v>55756</v>
      </c>
      <c r="Z85" s="512">
        <f t="shared" si="173"/>
        <v>133890.70000000001</v>
      </c>
      <c r="AA85" s="512">
        <f t="shared" si="173"/>
        <v>82062</v>
      </c>
      <c r="AB85" s="513">
        <f t="shared" si="174"/>
        <v>199012</v>
      </c>
      <c r="AC85" s="510">
        <f t="shared" si="35"/>
        <v>173306.11000000002</v>
      </c>
      <c r="AD85" s="512">
        <v>173306.11000000002</v>
      </c>
      <c r="AE85" s="512">
        <f t="shared" si="175"/>
        <v>80540</v>
      </c>
      <c r="AF85" s="512">
        <f t="shared" si="176"/>
        <v>173306.11000000002</v>
      </c>
      <c r="AG85" s="512">
        <f t="shared" si="176"/>
        <v>102111</v>
      </c>
      <c r="AH85" s="513">
        <f t="shared" si="177"/>
        <v>223443</v>
      </c>
      <c r="AI85" s="514" t="s">
        <v>520</v>
      </c>
      <c r="AJ85" s="515" t="s">
        <v>474</v>
      </c>
      <c r="AK85" s="515" t="s">
        <v>419</v>
      </c>
      <c r="AL85" s="515" t="s">
        <v>420</v>
      </c>
      <c r="AM85" s="516" t="s">
        <v>521</v>
      </c>
    </row>
    <row r="86" spans="2:39" ht="13.5" customHeight="1" x14ac:dyDescent="0.25">
      <c r="B86" s="710" t="s">
        <v>524</v>
      </c>
      <c r="C86" s="509" t="s">
        <v>45</v>
      </c>
      <c r="D86" s="510">
        <v>30883.37</v>
      </c>
      <c r="E86" s="828">
        <v>37913</v>
      </c>
      <c r="F86" s="512">
        <v>30883.37</v>
      </c>
      <c r="G86" s="842">
        <v>40670</v>
      </c>
      <c r="H86" s="532">
        <v>20530</v>
      </c>
      <c r="I86" s="510">
        <v>73499</v>
      </c>
      <c r="J86" s="511">
        <v>-2500</v>
      </c>
      <c r="K86" s="512">
        <v>73499</v>
      </c>
      <c r="L86" s="512">
        <v>0</v>
      </c>
      <c r="M86" s="532">
        <v>0</v>
      </c>
      <c r="N86" s="510">
        <v>103162.8</v>
      </c>
      <c r="O86" s="511">
        <v>136726</v>
      </c>
      <c r="P86" s="512">
        <v>103162.8</v>
      </c>
      <c r="Q86" s="512">
        <v>110590</v>
      </c>
      <c r="R86" s="532">
        <v>109804</v>
      </c>
      <c r="S86" s="510">
        <v>322339</v>
      </c>
      <c r="T86" s="511">
        <v>99235</v>
      </c>
      <c r="U86" s="512">
        <v>322339</v>
      </c>
      <c r="V86" s="512">
        <v>20151</v>
      </c>
      <c r="W86" s="532">
        <v>33526</v>
      </c>
      <c r="X86" s="510">
        <f t="shared" si="171"/>
        <v>425501.8</v>
      </c>
      <c r="Y86" s="512">
        <f t="shared" si="172"/>
        <v>235961</v>
      </c>
      <c r="Z86" s="512">
        <f t="shared" si="173"/>
        <v>425501.8</v>
      </c>
      <c r="AA86" s="512">
        <f t="shared" si="173"/>
        <v>130741</v>
      </c>
      <c r="AB86" s="513">
        <f t="shared" si="174"/>
        <v>143330</v>
      </c>
      <c r="AC86" s="510">
        <f t="shared" si="35"/>
        <v>529884.16999999993</v>
      </c>
      <c r="AD86" s="512">
        <v>312884.17</v>
      </c>
      <c r="AE86" s="512">
        <f t="shared" si="175"/>
        <v>271374</v>
      </c>
      <c r="AF86" s="512">
        <f t="shared" si="176"/>
        <v>529884.16999999993</v>
      </c>
      <c r="AG86" s="512">
        <f t="shared" si="176"/>
        <v>171411</v>
      </c>
      <c r="AH86" s="513">
        <f t="shared" si="177"/>
        <v>163860</v>
      </c>
      <c r="AI86" s="514" t="s">
        <v>520</v>
      </c>
      <c r="AJ86" s="515" t="s">
        <v>474</v>
      </c>
      <c r="AK86" s="515" t="s">
        <v>419</v>
      </c>
      <c r="AL86" s="515" t="s">
        <v>420</v>
      </c>
      <c r="AM86" s="516" t="s">
        <v>521</v>
      </c>
    </row>
    <row r="87" spans="2:39" ht="13.5" customHeight="1" x14ac:dyDescent="0.25">
      <c r="B87" s="710" t="s">
        <v>180</v>
      </c>
      <c r="C87" s="509" t="s">
        <v>46</v>
      </c>
      <c r="D87" s="510">
        <v>12031.61</v>
      </c>
      <c r="E87" s="828">
        <v>5519</v>
      </c>
      <c r="F87" s="512">
        <v>12031.61</v>
      </c>
      <c r="G87" s="842">
        <v>0</v>
      </c>
      <c r="H87" s="513">
        <v>0</v>
      </c>
      <c r="I87" s="510">
        <v>6124</v>
      </c>
      <c r="J87" s="511">
        <v>3854</v>
      </c>
      <c r="K87" s="512">
        <v>6124</v>
      </c>
      <c r="L87" s="512">
        <v>0</v>
      </c>
      <c r="M87" s="513">
        <v>0</v>
      </c>
      <c r="N87" s="510">
        <v>61814.7</v>
      </c>
      <c r="O87" s="511">
        <v>48825</v>
      </c>
      <c r="P87" s="512">
        <v>61814.7</v>
      </c>
      <c r="Q87" s="512">
        <v>0</v>
      </c>
      <c r="R87" s="513">
        <v>0</v>
      </c>
      <c r="S87" s="510">
        <v>46522</v>
      </c>
      <c r="T87" s="511">
        <v>12217</v>
      </c>
      <c r="U87" s="512">
        <v>46522</v>
      </c>
      <c r="V87" s="512">
        <v>0</v>
      </c>
      <c r="W87" s="513">
        <v>0</v>
      </c>
      <c r="X87" s="510">
        <f t="shared" si="171"/>
        <v>108336.7</v>
      </c>
      <c r="Y87" s="512">
        <f t="shared" si="172"/>
        <v>61042</v>
      </c>
      <c r="Z87" s="512">
        <f t="shared" si="173"/>
        <v>108336.7</v>
      </c>
      <c r="AA87" s="512">
        <f t="shared" si="173"/>
        <v>0</v>
      </c>
      <c r="AB87" s="513">
        <f t="shared" si="174"/>
        <v>0</v>
      </c>
      <c r="AC87" s="510">
        <f t="shared" si="35"/>
        <v>126492.31</v>
      </c>
      <c r="AD87" s="512">
        <v>126492.31</v>
      </c>
      <c r="AE87" s="512">
        <f t="shared" si="175"/>
        <v>70415</v>
      </c>
      <c r="AF87" s="512">
        <f t="shared" si="176"/>
        <v>126492.31</v>
      </c>
      <c r="AG87" s="512">
        <f t="shared" si="176"/>
        <v>0</v>
      </c>
      <c r="AH87" s="513">
        <f t="shared" si="177"/>
        <v>0</v>
      </c>
      <c r="AI87" s="514" t="s">
        <v>520</v>
      </c>
      <c r="AJ87" s="515" t="s">
        <v>474</v>
      </c>
      <c r="AK87" s="515" t="s">
        <v>419</v>
      </c>
      <c r="AL87" s="515" t="s">
        <v>431</v>
      </c>
      <c r="AM87" s="516" t="s">
        <v>521</v>
      </c>
    </row>
    <row r="88" spans="2:39" ht="13.5" customHeight="1" x14ac:dyDescent="0.25">
      <c r="B88" s="710" t="s">
        <v>525</v>
      </c>
      <c r="C88" s="527" t="s">
        <v>47</v>
      </c>
      <c r="D88" s="510">
        <v>80081.2</v>
      </c>
      <c r="E88" s="828">
        <v>67192</v>
      </c>
      <c r="F88" s="512">
        <v>80081.2</v>
      </c>
      <c r="G88" s="842">
        <v>54162</v>
      </c>
      <c r="H88" s="513">
        <v>95198</v>
      </c>
      <c r="I88" s="510">
        <v>36490</v>
      </c>
      <c r="J88" s="511">
        <v>14239</v>
      </c>
      <c r="K88" s="512">
        <v>36490</v>
      </c>
      <c r="L88" s="512">
        <v>14239</v>
      </c>
      <c r="M88" s="513">
        <v>13617</v>
      </c>
      <c r="N88" s="510">
        <v>229452.4</v>
      </c>
      <c r="O88" s="511">
        <v>123194</v>
      </c>
      <c r="P88" s="512">
        <v>229452.4</v>
      </c>
      <c r="Q88" s="512">
        <v>190023</v>
      </c>
      <c r="R88" s="513">
        <v>176330</v>
      </c>
      <c r="S88" s="510">
        <v>330519</v>
      </c>
      <c r="T88" s="511">
        <v>55710</v>
      </c>
      <c r="U88" s="512">
        <v>330519</v>
      </c>
      <c r="V88" s="512">
        <v>87674</v>
      </c>
      <c r="W88" s="513">
        <v>975655</v>
      </c>
      <c r="X88" s="510">
        <f t="shared" si="171"/>
        <v>559971.4</v>
      </c>
      <c r="Y88" s="512">
        <f t="shared" si="172"/>
        <v>178904</v>
      </c>
      <c r="Z88" s="512">
        <f t="shared" si="173"/>
        <v>559971.4</v>
      </c>
      <c r="AA88" s="512">
        <f t="shared" si="173"/>
        <v>277697</v>
      </c>
      <c r="AB88" s="513">
        <f t="shared" si="174"/>
        <v>1151985</v>
      </c>
      <c r="AC88" s="510">
        <f t="shared" si="35"/>
        <v>676542.6</v>
      </c>
      <c r="AD88" s="512">
        <v>455542.60000000003</v>
      </c>
      <c r="AE88" s="512">
        <f t="shared" si="175"/>
        <v>260335</v>
      </c>
      <c r="AF88" s="512">
        <f t="shared" si="176"/>
        <v>676542.6</v>
      </c>
      <c r="AG88" s="512">
        <f t="shared" si="176"/>
        <v>346098</v>
      </c>
      <c r="AH88" s="513">
        <f t="shared" si="177"/>
        <v>1260800</v>
      </c>
      <c r="AI88" s="514" t="s">
        <v>520</v>
      </c>
      <c r="AJ88" s="515" t="s">
        <v>474</v>
      </c>
      <c r="AK88" s="515" t="s">
        <v>419</v>
      </c>
      <c r="AL88" s="515" t="s">
        <v>420</v>
      </c>
      <c r="AM88" s="516" t="s">
        <v>521</v>
      </c>
    </row>
    <row r="89" spans="2:39" ht="13.5" customHeight="1" x14ac:dyDescent="0.25">
      <c r="B89" s="710" t="s">
        <v>526</v>
      </c>
      <c r="C89" s="527" t="s">
        <v>48</v>
      </c>
      <c r="D89" s="510">
        <v>115455.35</v>
      </c>
      <c r="E89" s="828">
        <v>134429</v>
      </c>
      <c r="F89" s="512">
        <v>115455.35</v>
      </c>
      <c r="G89" s="842">
        <v>136308</v>
      </c>
      <c r="H89" s="532">
        <v>86076</v>
      </c>
      <c r="I89" s="510">
        <v>52056</v>
      </c>
      <c r="J89" s="511">
        <v>35026</v>
      </c>
      <c r="K89" s="512">
        <v>52056</v>
      </c>
      <c r="L89" s="512">
        <v>25954</v>
      </c>
      <c r="M89" s="532">
        <v>26735</v>
      </c>
      <c r="N89" s="510">
        <v>691737.9</v>
      </c>
      <c r="O89" s="511">
        <v>788993</v>
      </c>
      <c r="P89" s="512">
        <v>691737.9</v>
      </c>
      <c r="Q89" s="512">
        <v>588209</v>
      </c>
      <c r="R89" s="532">
        <v>543002</v>
      </c>
      <c r="S89" s="510">
        <v>978978</v>
      </c>
      <c r="T89" s="511">
        <v>263013</v>
      </c>
      <c r="U89" s="512">
        <v>978978</v>
      </c>
      <c r="V89" s="512">
        <v>198830</v>
      </c>
      <c r="W89" s="532">
        <v>233536</v>
      </c>
      <c r="X89" s="510">
        <f t="shared" si="171"/>
        <v>1670715.9</v>
      </c>
      <c r="Y89" s="512">
        <f t="shared" si="172"/>
        <v>1052006</v>
      </c>
      <c r="Z89" s="512">
        <f t="shared" si="173"/>
        <v>1670715.9</v>
      </c>
      <c r="AA89" s="512">
        <f t="shared" si="173"/>
        <v>787039</v>
      </c>
      <c r="AB89" s="513">
        <f t="shared" si="174"/>
        <v>776538</v>
      </c>
      <c r="AC89" s="510">
        <f t="shared" si="35"/>
        <v>1838227.25</v>
      </c>
      <c r="AD89" s="512">
        <v>1300227.25</v>
      </c>
      <c r="AE89" s="512">
        <f t="shared" si="175"/>
        <v>1221461</v>
      </c>
      <c r="AF89" s="512">
        <f t="shared" si="176"/>
        <v>1838227.25</v>
      </c>
      <c r="AG89" s="512">
        <f t="shared" si="176"/>
        <v>949301</v>
      </c>
      <c r="AH89" s="513">
        <f t="shared" si="177"/>
        <v>889349</v>
      </c>
      <c r="AI89" s="514" t="s">
        <v>520</v>
      </c>
      <c r="AJ89" s="515" t="s">
        <v>474</v>
      </c>
      <c r="AK89" s="515" t="s">
        <v>419</v>
      </c>
      <c r="AL89" s="515" t="s">
        <v>420</v>
      </c>
      <c r="AM89" s="516" t="s">
        <v>521</v>
      </c>
    </row>
    <row r="90" spans="2:39" ht="13.5" customHeight="1" x14ac:dyDescent="0.25">
      <c r="B90" s="710" t="s">
        <v>527</v>
      </c>
      <c r="C90" s="527" t="s">
        <v>49</v>
      </c>
      <c r="D90" s="510">
        <v>29459.07</v>
      </c>
      <c r="E90" s="828">
        <v>25695</v>
      </c>
      <c r="F90" s="512">
        <v>29459.07</v>
      </c>
      <c r="G90" s="842">
        <v>18249</v>
      </c>
      <c r="H90" s="533">
        <v>14738</v>
      </c>
      <c r="I90" s="510">
        <v>10003</v>
      </c>
      <c r="J90" s="511">
        <v>14409</v>
      </c>
      <c r="K90" s="512">
        <v>10003</v>
      </c>
      <c r="L90" s="512">
        <v>9800</v>
      </c>
      <c r="M90" s="533">
        <v>10341</v>
      </c>
      <c r="N90" s="510">
        <v>105734.1</v>
      </c>
      <c r="O90" s="511">
        <v>111456</v>
      </c>
      <c r="P90" s="512">
        <v>105734.1</v>
      </c>
      <c r="Q90" s="512">
        <v>102236</v>
      </c>
      <c r="R90" s="533">
        <v>59670</v>
      </c>
      <c r="S90" s="510">
        <v>15130</v>
      </c>
      <c r="T90" s="511">
        <v>5171</v>
      </c>
      <c r="U90" s="512">
        <v>15130</v>
      </c>
      <c r="V90" s="512">
        <v>3017</v>
      </c>
      <c r="W90" s="533">
        <v>2290</v>
      </c>
      <c r="X90" s="510">
        <f t="shared" si="171"/>
        <v>120864.1</v>
      </c>
      <c r="Y90" s="512">
        <f t="shared" si="172"/>
        <v>116627</v>
      </c>
      <c r="Z90" s="512">
        <f t="shared" si="173"/>
        <v>120864.1</v>
      </c>
      <c r="AA90" s="512">
        <f t="shared" si="173"/>
        <v>105253</v>
      </c>
      <c r="AB90" s="513">
        <f t="shared" si="174"/>
        <v>61960</v>
      </c>
      <c r="AC90" s="510">
        <f t="shared" si="35"/>
        <v>160326.17000000001</v>
      </c>
      <c r="AD90" s="512">
        <v>160326.17000000001</v>
      </c>
      <c r="AE90" s="512">
        <f t="shared" si="175"/>
        <v>156731</v>
      </c>
      <c r="AF90" s="512">
        <f t="shared" si="176"/>
        <v>160326.17000000001</v>
      </c>
      <c r="AG90" s="512">
        <f t="shared" si="176"/>
        <v>133302</v>
      </c>
      <c r="AH90" s="513">
        <f t="shared" si="177"/>
        <v>87039</v>
      </c>
      <c r="AI90" s="514" t="s">
        <v>520</v>
      </c>
      <c r="AJ90" s="515" t="s">
        <v>474</v>
      </c>
      <c r="AK90" s="515" t="s">
        <v>419</v>
      </c>
      <c r="AL90" s="515" t="s">
        <v>420</v>
      </c>
      <c r="AM90" s="516" t="s">
        <v>521</v>
      </c>
    </row>
    <row r="91" spans="2:39" ht="13.5" customHeight="1" x14ac:dyDescent="0.25">
      <c r="B91" s="710" t="s">
        <v>528</v>
      </c>
      <c r="C91" s="527" t="s">
        <v>529</v>
      </c>
      <c r="D91" s="510">
        <v>85617.9</v>
      </c>
      <c r="E91" s="828">
        <v>143020</v>
      </c>
      <c r="F91" s="512">
        <v>85617.9</v>
      </c>
      <c r="G91" s="842">
        <v>70913</v>
      </c>
      <c r="H91" s="519">
        <v>75905</v>
      </c>
      <c r="I91" s="510">
        <v>22456</v>
      </c>
      <c r="J91" s="511">
        <v>13676</v>
      </c>
      <c r="K91" s="512">
        <v>22456</v>
      </c>
      <c r="L91" s="512">
        <v>0</v>
      </c>
      <c r="M91" s="519">
        <v>0</v>
      </c>
      <c r="N91" s="510">
        <v>342041.5</v>
      </c>
      <c r="O91" s="511">
        <v>355146</v>
      </c>
      <c r="P91" s="512">
        <v>342041.5</v>
      </c>
      <c r="Q91" s="512">
        <v>506449</v>
      </c>
      <c r="R91" s="519">
        <v>397747</v>
      </c>
      <c r="S91" s="510">
        <v>0</v>
      </c>
      <c r="T91" s="511">
        <v>0</v>
      </c>
      <c r="U91" s="512">
        <v>0</v>
      </c>
      <c r="V91" s="512">
        <v>0</v>
      </c>
      <c r="W91" s="519">
        <v>0</v>
      </c>
      <c r="X91" s="510">
        <f t="shared" si="171"/>
        <v>342041.5</v>
      </c>
      <c r="Y91" s="512">
        <f t="shared" si="172"/>
        <v>355146</v>
      </c>
      <c r="Z91" s="512">
        <f t="shared" si="173"/>
        <v>342041.5</v>
      </c>
      <c r="AA91" s="512">
        <f t="shared" si="173"/>
        <v>506449</v>
      </c>
      <c r="AB91" s="513">
        <f t="shared" si="174"/>
        <v>397747</v>
      </c>
      <c r="AC91" s="510">
        <f t="shared" si="35"/>
        <v>450115.4</v>
      </c>
      <c r="AD91" s="512">
        <v>450115.4</v>
      </c>
      <c r="AE91" s="512">
        <f t="shared" si="175"/>
        <v>511842</v>
      </c>
      <c r="AF91" s="512">
        <f t="shared" si="176"/>
        <v>450115.4</v>
      </c>
      <c r="AG91" s="512">
        <f t="shared" si="176"/>
        <v>577362</v>
      </c>
      <c r="AH91" s="513">
        <f t="shared" si="177"/>
        <v>473652</v>
      </c>
      <c r="AI91" s="514" t="s">
        <v>520</v>
      </c>
      <c r="AJ91" s="515" t="s">
        <v>474</v>
      </c>
      <c r="AK91" s="515" t="s">
        <v>434</v>
      </c>
      <c r="AL91" s="515" t="s">
        <v>420</v>
      </c>
      <c r="AM91" s="516" t="s">
        <v>521</v>
      </c>
    </row>
    <row r="92" spans="2:39" ht="13.5" customHeight="1" x14ac:dyDescent="0.25">
      <c r="B92" s="710" t="s">
        <v>530</v>
      </c>
      <c r="C92" s="527" t="s">
        <v>50</v>
      </c>
      <c r="D92" s="510">
        <v>54525.85</v>
      </c>
      <c r="E92" s="828">
        <v>56998</v>
      </c>
      <c r="F92" s="512">
        <v>54525.85</v>
      </c>
      <c r="G92" s="842">
        <v>34668</v>
      </c>
      <c r="H92" s="519">
        <v>22453</v>
      </c>
      <c r="I92" s="510">
        <v>20006</v>
      </c>
      <c r="J92" s="511">
        <v>-688</v>
      </c>
      <c r="K92" s="512">
        <v>20006</v>
      </c>
      <c r="L92" s="512">
        <v>312</v>
      </c>
      <c r="M92" s="519">
        <v>298</v>
      </c>
      <c r="N92" s="510">
        <v>235033</v>
      </c>
      <c r="O92" s="511">
        <v>213790</v>
      </c>
      <c r="P92" s="512">
        <v>235033</v>
      </c>
      <c r="Q92" s="512">
        <v>214360</v>
      </c>
      <c r="R92" s="519">
        <v>164071</v>
      </c>
      <c r="S92" s="510">
        <v>132412</v>
      </c>
      <c r="T92" s="511">
        <v>331096</v>
      </c>
      <c r="U92" s="512">
        <v>132412</v>
      </c>
      <c r="V92" s="512">
        <v>14292</v>
      </c>
      <c r="W92" s="519">
        <v>15293</v>
      </c>
      <c r="X92" s="510">
        <f t="shared" si="171"/>
        <v>367445</v>
      </c>
      <c r="Y92" s="512">
        <f t="shared" si="172"/>
        <v>544886</v>
      </c>
      <c r="Z92" s="512">
        <f t="shared" si="173"/>
        <v>367445</v>
      </c>
      <c r="AA92" s="512">
        <f t="shared" si="173"/>
        <v>228652</v>
      </c>
      <c r="AB92" s="513">
        <f t="shared" si="174"/>
        <v>179364</v>
      </c>
      <c r="AC92" s="510">
        <f t="shared" si="35"/>
        <v>441976.85</v>
      </c>
      <c r="AD92" s="512">
        <v>441976.85</v>
      </c>
      <c r="AE92" s="512">
        <f t="shared" si="175"/>
        <v>601196</v>
      </c>
      <c r="AF92" s="512">
        <f t="shared" si="176"/>
        <v>441976.85</v>
      </c>
      <c r="AG92" s="512">
        <f t="shared" si="176"/>
        <v>263632</v>
      </c>
      <c r="AH92" s="513">
        <f t="shared" si="177"/>
        <v>202115</v>
      </c>
      <c r="AI92" s="514" t="s">
        <v>520</v>
      </c>
      <c r="AJ92" s="515" t="s">
        <v>474</v>
      </c>
      <c r="AK92" s="515" t="s">
        <v>419</v>
      </c>
      <c r="AL92" s="515" t="s">
        <v>420</v>
      </c>
      <c r="AM92" s="516" t="s">
        <v>521</v>
      </c>
    </row>
    <row r="93" spans="2:39" ht="13.5" customHeight="1" x14ac:dyDescent="0.25">
      <c r="B93" s="710" t="s">
        <v>531</v>
      </c>
      <c r="C93" s="527" t="s">
        <v>51</v>
      </c>
      <c r="D93" s="510">
        <v>25246.62</v>
      </c>
      <c r="E93" s="828">
        <v>24488</v>
      </c>
      <c r="F93" s="512">
        <v>25246.62</v>
      </c>
      <c r="G93" s="842">
        <v>25869</v>
      </c>
      <c r="H93" s="519">
        <v>23338</v>
      </c>
      <c r="I93" s="510">
        <v>33561</v>
      </c>
      <c r="J93" s="511">
        <v>-1522</v>
      </c>
      <c r="K93" s="512">
        <v>33561</v>
      </c>
      <c r="L93" s="512">
        <v>16146</v>
      </c>
      <c r="M93" s="519">
        <v>9076</v>
      </c>
      <c r="N93" s="510">
        <v>120467.9</v>
      </c>
      <c r="O93" s="511">
        <v>46142</v>
      </c>
      <c r="P93" s="512">
        <v>120467.9</v>
      </c>
      <c r="Q93" s="512">
        <v>148329</v>
      </c>
      <c r="R93" s="519">
        <v>89128</v>
      </c>
      <c r="S93" s="510">
        <v>3795</v>
      </c>
      <c r="T93" s="511">
        <v>4944</v>
      </c>
      <c r="U93" s="512">
        <v>3795</v>
      </c>
      <c r="V93" s="512">
        <v>16977</v>
      </c>
      <c r="W93" s="519">
        <v>2948</v>
      </c>
      <c r="X93" s="510">
        <f t="shared" si="171"/>
        <v>124262.9</v>
      </c>
      <c r="Y93" s="512">
        <f t="shared" si="172"/>
        <v>51086</v>
      </c>
      <c r="Z93" s="512">
        <f t="shared" si="173"/>
        <v>124262.9</v>
      </c>
      <c r="AA93" s="512">
        <f t="shared" si="173"/>
        <v>165306</v>
      </c>
      <c r="AB93" s="513">
        <f t="shared" si="174"/>
        <v>92076</v>
      </c>
      <c r="AC93" s="510">
        <f t="shared" si="35"/>
        <v>183070.52</v>
      </c>
      <c r="AD93" s="512">
        <v>183070.52</v>
      </c>
      <c r="AE93" s="512">
        <f t="shared" si="175"/>
        <v>74052</v>
      </c>
      <c r="AF93" s="512">
        <f t="shared" si="176"/>
        <v>183070.52</v>
      </c>
      <c r="AG93" s="512">
        <f t="shared" si="176"/>
        <v>207321</v>
      </c>
      <c r="AH93" s="513">
        <f t="shared" si="177"/>
        <v>124490</v>
      </c>
      <c r="AI93" s="514" t="s">
        <v>520</v>
      </c>
      <c r="AJ93" s="515" t="s">
        <v>474</v>
      </c>
      <c r="AK93" s="515" t="s">
        <v>419</v>
      </c>
      <c r="AL93" s="515" t="s">
        <v>420</v>
      </c>
      <c r="AM93" s="516" t="s">
        <v>521</v>
      </c>
    </row>
    <row r="94" spans="2:39" ht="13.5" customHeight="1" x14ac:dyDescent="0.25">
      <c r="B94" s="710" t="s">
        <v>532</v>
      </c>
      <c r="C94" s="527" t="s">
        <v>52</v>
      </c>
      <c r="D94" s="510">
        <v>134751.07999999999</v>
      </c>
      <c r="E94" s="828">
        <v>109074</v>
      </c>
      <c r="F94" s="512">
        <v>134751.07999999999</v>
      </c>
      <c r="G94" s="842">
        <v>85847</v>
      </c>
      <c r="H94" s="513">
        <v>159892</v>
      </c>
      <c r="I94" s="510">
        <v>39297</v>
      </c>
      <c r="J94" s="511">
        <v>3128</v>
      </c>
      <c r="K94" s="512">
        <v>39297</v>
      </c>
      <c r="L94" s="512">
        <v>0</v>
      </c>
      <c r="M94" s="513">
        <v>0</v>
      </c>
      <c r="N94" s="510">
        <v>307177.8</v>
      </c>
      <c r="O94" s="511">
        <v>280585</v>
      </c>
      <c r="P94" s="512">
        <v>307177.8</v>
      </c>
      <c r="Q94" s="512">
        <v>271403</v>
      </c>
      <c r="R94" s="513">
        <v>255192</v>
      </c>
      <c r="S94" s="510">
        <v>634183</v>
      </c>
      <c r="T94" s="511">
        <v>96143</v>
      </c>
      <c r="U94" s="512">
        <v>634183</v>
      </c>
      <c r="V94" s="512">
        <v>318191</v>
      </c>
      <c r="W94" s="513">
        <v>1759924</v>
      </c>
      <c r="X94" s="510">
        <f t="shared" si="171"/>
        <v>941360.8</v>
      </c>
      <c r="Y94" s="512">
        <f t="shared" si="172"/>
        <v>376728</v>
      </c>
      <c r="Z94" s="512">
        <f t="shared" si="173"/>
        <v>941360.8</v>
      </c>
      <c r="AA94" s="512">
        <f t="shared" si="173"/>
        <v>589594</v>
      </c>
      <c r="AB94" s="513">
        <f t="shared" si="174"/>
        <v>2015116</v>
      </c>
      <c r="AC94" s="510">
        <f t="shared" si="35"/>
        <v>1115408.8800000001</v>
      </c>
      <c r="AD94" s="512">
        <v>687408.88</v>
      </c>
      <c r="AE94" s="512">
        <f t="shared" si="175"/>
        <v>488930</v>
      </c>
      <c r="AF94" s="512">
        <f t="shared" si="176"/>
        <v>1115408.8800000001</v>
      </c>
      <c r="AG94" s="512">
        <f t="shared" si="176"/>
        <v>675441</v>
      </c>
      <c r="AH94" s="513">
        <f t="shared" si="177"/>
        <v>2175008</v>
      </c>
      <c r="AI94" s="514" t="s">
        <v>520</v>
      </c>
      <c r="AJ94" s="515" t="s">
        <v>474</v>
      </c>
      <c r="AK94" s="515" t="s">
        <v>419</v>
      </c>
      <c r="AL94" s="515" t="s">
        <v>420</v>
      </c>
      <c r="AM94" s="516" t="s">
        <v>521</v>
      </c>
    </row>
    <row r="95" spans="2:39" ht="13.5" customHeight="1" x14ac:dyDescent="0.25">
      <c r="B95" s="710" t="s">
        <v>533</v>
      </c>
      <c r="C95" s="527" t="s">
        <v>53</v>
      </c>
      <c r="D95" s="510">
        <v>83219.25</v>
      </c>
      <c r="E95" s="828">
        <v>75186</v>
      </c>
      <c r="F95" s="512">
        <v>83219.25</v>
      </c>
      <c r="G95" s="842">
        <v>57244</v>
      </c>
      <c r="H95" s="519">
        <v>75073</v>
      </c>
      <c r="I95" s="510">
        <v>35470</v>
      </c>
      <c r="J95" s="511">
        <v>60466</v>
      </c>
      <c r="K95" s="512">
        <v>35470</v>
      </c>
      <c r="L95" s="512">
        <v>34750</v>
      </c>
      <c r="M95" s="519">
        <v>0</v>
      </c>
      <c r="N95" s="510">
        <v>278649.09999999998</v>
      </c>
      <c r="O95" s="511">
        <v>253931</v>
      </c>
      <c r="P95" s="512">
        <v>278649.09999999998</v>
      </c>
      <c r="Q95" s="512">
        <v>194743</v>
      </c>
      <c r="R95" s="519">
        <v>154981</v>
      </c>
      <c r="S95" s="510">
        <v>185861</v>
      </c>
      <c r="T95" s="511">
        <v>128784</v>
      </c>
      <c r="U95" s="512">
        <v>185861</v>
      </c>
      <c r="V95" s="512">
        <v>357174</v>
      </c>
      <c r="W95" s="519">
        <v>572009</v>
      </c>
      <c r="X95" s="510">
        <f t="shared" si="171"/>
        <v>464510.1</v>
      </c>
      <c r="Y95" s="512">
        <f t="shared" si="172"/>
        <v>382715</v>
      </c>
      <c r="Z95" s="512">
        <f t="shared" si="173"/>
        <v>464510.1</v>
      </c>
      <c r="AA95" s="512">
        <f t="shared" si="173"/>
        <v>551917</v>
      </c>
      <c r="AB95" s="513">
        <f t="shared" si="174"/>
        <v>726990</v>
      </c>
      <c r="AC95" s="510">
        <f t="shared" si="35"/>
        <v>583199.35</v>
      </c>
      <c r="AD95" s="512">
        <v>583199.35</v>
      </c>
      <c r="AE95" s="512">
        <f t="shared" si="175"/>
        <v>518367</v>
      </c>
      <c r="AF95" s="512">
        <f t="shared" si="176"/>
        <v>583199.35</v>
      </c>
      <c r="AG95" s="512">
        <f t="shared" si="176"/>
        <v>643911</v>
      </c>
      <c r="AH95" s="513">
        <f t="shared" si="177"/>
        <v>802063</v>
      </c>
      <c r="AI95" s="514" t="s">
        <v>520</v>
      </c>
      <c r="AJ95" s="515" t="s">
        <v>474</v>
      </c>
      <c r="AK95" s="515" t="s">
        <v>419</v>
      </c>
      <c r="AL95" s="515" t="s">
        <v>420</v>
      </c>
      <c r="AM95" s="516" t="s">
        <v>521</v>
      </c>
    </row>
    <row r="96" spans="2:39" ht="13.5" customHeight="1" x14ac:dyDescent="0.25">
      <c r="B96" s="710" t="s">
        <v>534</v>
      </c>
      <c r="C96" s="527" t="s">
        <v>54</v>
      </c>
      <c r="D96" s="510">
        <v>138800.93</v>
      </c>
      <c r="E96" s="828">
        <v>134930</v>
      </c>
      <c r="F96" s="512">
        <v>138800.93</v>
      </c>
      <c r="G96" s="842">
        <v>83504</v>
      </c>
      <c r="H96" s="519">
        <v>60012</v>
      </c>
      <c r="I96" s="510">
        <v>70698</v>
      </c>
      <c r="J96" s="511">
        <v>45351</v>
      </c>
      <c r="K96" s="512">
        <v>70698</v>
      </c>
      <c r="L96" s="512">
        <v>62382</v>
      </c>
      <c r="M96" s="519">
        <v>27723</v>
      </c>
      <c r="N96" s="510">
        <v>348007</v>
      </c>
      <c r="O96" s="511">
        <v>338251</v>
      </c>
      <c r="P96" s="512">
        <v>348007</v>
      </c>
      <c r="Q96" s="512">
        <v>297226</v>
      </c>
      <c r="R96" s="519">
        <v>286252</v>
      </c>
      <c r="S96" s="510">
        <v>336653</v>
      </c>
      <c r="T96" s="511">
        <v>28864</v>
      </c>
      <c r="U96" s="512">
        <v>336653</v>
      </c>
      <c r="V96" s="512">
        <v>39013</v>
      </c>
      <c r="W96" s="519">
        <v>50163</v>
      </c>
      <c r="X96" s="510">
        <f t="shared" si="171"/>
        <v>684660</v>
      </c>
      <c r="Y96" s="512">
        <f t="shared" si="172"/>
        <v>367115</v>
      </c>
      <c r="Z96" s="512">
        <f t="shared" si="173"/>
        <v>684660</v>
      </c>
      <c r="AA96" s="512">
        <f t="shared" si="173"/>
        <v>336239</v>
      </c>
      <c r="AB96" s="513">
        <f t="shared" si="174"/>
        <v>336415</v>
      </c>
      <c r="AC96" s="510">
        <f t="shared" ref="AC96:AC108" si="178">+D96+I96+X96</f>
        <v>894158.92999999993</v>
      </c>
      <c r="AD96" s="512">
        <v>450158.93</v>
      </c>
      <c r="AE96" s="512">
        <f t="shared" si="175"/>
        <v>547396</v>
      </c>
      <c r="AF96" s="512">
        <f t="shared" si="176"/>
        <v>894158.92999999993</v>
      </c>
      <c r="AG96" s="512">
        <f t="shared" si="176"/>
        <v>482125</v>
      </c>
      <c r="AH96" s="513">
        <f t="shared" si="177"/>
        <v>424150</v>
      </c>
      <c r="AI96" s="514" t="s">
        <v>520</v>
      </c>
      <c r="AJ96" s="515" t="s">
        <v>474</v>
      </c>
      <c r="AK96" s="515" t="s">
        <v>419</v>
      </c>
      <c r="AL96" s="515" t="s">
        <v>420</v>
      </c>
      <c r="AM96" s="516" t="s">
        <v>521</v>
      </c>
    </row>
    <row r="97" spans="2:39" ht="13.5" customHeight="1" x14ac:dyDescent="0.25">
      <c r="B97" s="710" t="s">
        <v>535</v>
      </c>
      <c r="C97" s="527" t="s">
        <v>55</v>
      </c>
      <c r="D97" s="510">
        <v>128458.67</v>
      </c>
      <c r="E97" s="828">
        <v>149716</v>
      </c>
      <c r="F97" s="512">
        <v>128458.67</v>
      </c>
      <c r="G97" s="842">
        <v>90937</v>
      </c>
      <c r="H97" s="519">
        <v>72910</v>
      </c>
      <c r="I97" s="510">
        <v>41594</v>
      </c>
      <c r="J97" s="511">
        <v>72234</v>
      </c>
      <c r="K97" s="512">
        <v>41594</v>
      </c>
      <c r="L97" s="512">
        <v>40750</v>
      </c>
      <c r="M97" s="519">
        <v>63970</v>
      </c>
      <c r="N97" s="510">
        <v>516337.5</v>
      </c>
      <c r="O97" s="511">
        <v>578559</v>
      </c>
      <c r="P97" s="512">
        <v>516337.5</v>
      </c>
      <c r="Q97" s="512">
        <v>482856</v>
      </c>
      <c r="R97" s="519">
        <v>413993</v>
      </c>
      <c r="S97" s="510">
        <v>426001</v>
      </c>
      <c r="T97" s="511">
        <v>131840</v>
      </c>
      <c r="U97" s="512">
        <v>426001</v>
      </c>
      <c r="V97" s="512">
        <v>83486</v>
      </c>
      <c r="W97" s="519">
        <v>174075</v>
      </c>
      <c r="X97" s="510">
        <f t="shared" si="171"/>
        <v>942338.5</v>
      </c>
      <c r="Y97" s="512">
        <f t="shared" si="172"/>
        <v>710399</v>
      </c>
      <c r="Z97" s="512">
        <f t="shared" si="173"/>
        <v>942338.5</v>
      </c>
      <c r="AA97" s="512">
        <f t="shared" si="173"/>
        <v>566342</v>
      </c>
      <c r="AB97" s="513">
        <f t="shared" si="174"/>
        <v>588068</v>
      </c>
      <c r="AC97" s="510">
        <f t="shared" si="178"/>
        <v>1112391.17</v>
      </c>
      <c r="AD97" s="512">
        <v>1112391.17</v>
      </c>
      <c r="AE97" s="512">
        <f t="shared" si="175"/>
        <v>932349</v>
      </c>
      <c r="AF97" s="512">
        <f t="shared" si="176"/>
        <v>1112391.17</v>
      </c>
      <c r="AG97" s="512">
        <f t="shared" si="176"/>
        <v>698029</v>
      </c>
      <c r="AH97" s="513">
        <f t="shared" si="177"/>
        <v>724948</v>
      </c>
      <c r="AI97" s="514" t="s">
        <v>520</v>
      </c>
      <c r="AJ97" s="515" t="s">
        <v>474</v>
      </c>
      <c r="AK97" s="515" t="s">
        <v>419</v>
      </c>
      <c r="AL97" s="515" t="s">
        <v>420</v>
      </c>
      <c r="AM97" s="516" t="s">
        <v>521</v>
      </c>
    </row>
    <row r="98" spans="2:39" ht="13.5" customHeight="1" x14ac:dyDescent="0.25">
      <c r="B98" s="710" t="s">
        <v>536</v>
      </c>
      <c r="C98" s="527" t="s">
        <v>56</v>
      </c>
      <c r="D98" s="510">
        <v>83930.81</v>
      </c>
      <c r="E98" s="828">
        <v>57265</v>
      </c>
      <c r="F98" s="512">
        <v>83930.81</v>
      </c>
      <c r="G98" s="842">
        <v>39016</v>
      </c>
      <c r="H98" s="519">
        <v>34650</v>
      </c>
      <c r="I98" s="510">
        <v>55884</v>
      </c>
      <c r="J98" s="511">
        <v>23460</v>
      </c>
      <c r="K98" s="512">
        <v>55884</v>
      </c>
      <c r="L98" s="512">
        <v>19119</v>
      </c>
      <c r="M98" s="519">
        <v>18284</v>
      </c>
      <c r="N98" s="510">
        <v>171345.9</v>
      </c>
      <c r="O98" s="511">
        <v>118258</v>
      </c>
      <c r="P98" s="512">
        <v>171345.9</v>
      </c>
      <c r="Q98" s="512">
        <v>169985</v>
      </c>
      <c r="R98" s="519">
        <v>147799</v>
      </c>
      <c r="S98" s="510">
        <v>50849</v>
      </c>
      <c r="T98" s="511">
        <v>47788</v>
      </c>
      <c r="U98" s="512">
        <v>50849</v>
      </c>
      <c r="V98" s="512">
        <v>48778</v>
      </c>
      <c r="W98" s="519">
        <v>45870</v>
      </c>
      <c r="X98" s="510">
        <f t="shared" si="171"/>
        <v>222194.9</v>
      </c>
      <c r="Y98" s="512">
        <f t="shared" si="172"/>
        <v>166046</v>
      </c>
      <c r="Z98" s="512">
        <f t="shared" si="173"/>
        <v>222194.9</v>
      </c>
      <c r="AA98" s="512">
        <f t="shared" si="173"/>
        <v>218763</v>
      </c>
      <c r="AB98" s="513">
        <f t="shared" si="174"/>
        <v>193669</v>
      </c>
      <c r="AC98" s="510">
        <f t="shared" si="178"/>
        <v>362009.70999999996</v>
      </c>
      <c r="AD98" s="512">
        <v>362009.70999999996</v>
      </c>
      <c r="AE98" s="512">
        <f t="shared" si="175"/>
        <v>246771</v>
      </c>
      <c r="AF98" s="512">
        <f t="shared" si="176"/>
        <v>362009.70999999996</v>
      </c>
      <c r="AG98" s="512">
        <f t="shared" si="176"/>
        <v>276898</v>
      </c>
      <c r="AH98" s="513">
        <f t="shared" si="177"/>
        <v>246603</v>
      </c>
      <c r="AI98" s="514" t="s">
        <v>520</v>
      </c>
      <c r="AJ98" s="515" t="s">
        <v>474</v>
      </c>
      <c r="AK98" s="515" t="s">
        <v>419</v>
      </c>
      <c r="AL98" s="515" t="s">
        <v>420</v>
      </c>
      <c r="AM98" s="516" t="s">
        <v>521</v>
      </c>
    </row>
    <row r="99" spans="2:39" ht="13.5" customHeight="1" x14ac:dyDescent="0.25">
      <c r="B99" s="710" t="s">
        <v>537</v>
      </c>
      <c r="C99" s="527" t="s">
        <v>57</v>
      </c>
      <c r="D99" s="510">
        <v>169327.3</v>
      </c>
      <c r="E99" s="828">
        <v>95762</v>
      </c>
      <c r="F99" s="512">
        <v>169327.3</v>
      </c>
      <c r="G99" s="842">
        <v>71127</v>
      </c>
      <c r="H99" s="519">
        <v>48857</v>
      </c>
      <c r="I99" s="510">
        <v>23221</v>
      </c>
      <c r="J99" s="511">
        <v>44312</v>
      </c>
      <c r="K99" s="512">
        <v>23221</v>
      </c>
      <c r="L99" s="512">
        <v>22750</v>
      </c>
      <c r="M99" s="519">
        <v>21757</v>
      </c>
      <c r="N99" s="510">
        <v>350980.6</v>
      </c>
      <c r="O99" s="511">
        <v>457031</v>
      </c>
      <c r="P99" s="512">
        <v>350980.6</v>
      </c>
      <c r="Q99" s="512">
        <v>332142</v>
      </c>
      <c r="R99" s="519">
        <v>313407</v>
      </c>
      <c r="S99" s="510">
        <v>349750</v>
      </c>
      <c r="T99" s="511">
        <v>26637</v>
      </c>
      <c r="U99" s="512">
        <v>349750</v>
      </c>
      <c r="V99" s="512">
        <v>11799</v>
      </c>
      <c r="W99" s="519">
        <v>49586</v>
      </c>
      <c r="X99" s="510">
        <f t="shared" si="171"/>
        <v>700730.6</v>
      </c>
      <c r="Y99" s="512">
        <f t="shared" si="172"/>
        <v>483668</v>
      </c>
      <c r="Z99" s="512">
        <f t="shared" si="173"/>
        <v>700730.6</v>
      </c>
      <c r="AA99" s="512">
        <f t="shared" si="173"/>
        <v>343941</v>
      </c>
      <c r="AB99" s="513">
        <f t="shared" si="174"/>
        <v>362993</v>
      </c>
      <c r="AC99" s="510">
        <f t="shared" si="178"/>
        <v>893278.89999999991</v>
      </c>
      <c r="AD99" s="512">
        <v>893278.89999999991</v>
      </c>
      <c r="AE99" s="512">
        <f t="shared" si="175"/>
        <v>623742</v>
      </c>
      <c r="AF99" s="512">
        <f t="shared" si="176"/>
        <v>893278.89999999991</v>
      </c>
      <c r="AG99" s="512">
        <f t="shared" si="176"/>
        <v>437818</v>
      </c>
      <c r="AH99" s="513">
        <f t="shared" si="177"/>
        <v>433607</v>
      </c>
      <c r="AI99" s="514" t="s">
        <v>520</v>
      </c>
      <c r="AJ99" s="515" t="s">
        <v>474</v>
      </c>
      <c r="AK99" s="515" t="s">
        <v>419</v>
      </c>
      <c r="AL99" s="515" t="s">
        <v>420</v>
      </c>
      <c r="AM99" s="516" t="s">
        <v>521</v>
      </c>
    </row>
    <row r="100" spans="2:39" ht="13.5" customHeight="1" x14ac:dyDescent="0.25">
      <c r="B100" s="710" t="s">
        <v>538</v>
      </c>
      <c r="C100" s="527" t="s">
        <v>58</v>
      </c>
      <c r="D100" s="510">
        <v>60388.59</v>
      </c>
      <c r="E100" s="828">
        <v>54902</v>
      </c>
      <c r="F100" s="512">
        <v>60388.59</v>
      </c>
      <c r="G100" s="842">
        <v>41766</v>
      </c>
      <c r="H100" s="519">
        <v>29423</v>
      </c>
      <c r="I100" s="510">
        <v>21180</v>
      </c>
      <c r="J100" s="511">
        <v>29285</v>
      </c>
      <c r="K100" s="512">
        <v>21180</v>
      </c>
      <c r="L100" s="512">
        <v>20750</v>
      </c>
      <c r="M100" s="519">
        <v>8572</v>
      </c>
      <c r="N100" s="510">
        <v>219749</v>
      </c>
      <c r="O100" s="511">
        <f>2705+141822</f>
        <v>144527</v>
      </c>
      <c r="P100" s="512">
        <v>219749</v>
      </c>
      <c r="Q100" s="512">
        <v>202018</v>
      </c>
      <c r="R100" s="519">
        <v>139641</v>
      </c>
      <c r="S100" s="510">
        <v>146200</v>
      </c>
      <c r="T100" s="511">
        <f>-2705+30511</f>
        <v>27806</v>
      </c>
      <c r="U100" s="512">
        <v>146200</v>
      </c>
      <c r="V100" s="512">
        <v>26620</v>
      </c>
      <c r="W100" s="519">
        <v>28483</v>
      </c>
      <c r="X100" s="510">
        <f t="shared" si="171"/>
        <v>365949</v>
      </c>
      <c r="Y100" s="512">
        <f t="shared" si="172"/>
        <v>172333</v>
      </c>
      <c r="Z100" s="512">
        <f t="shared" si="173"/>
        <v>365949</v>
      </c>
      <c r="AA100" s="512">
        <f t="shared" si="173"/>
        <v>228638</v>
      </c>
      <c r="AB100" s="513">
        <f t="shared" si="174"/>
        <v>168124</v>
      </c>
      <c r="AC100" s="510">
        <f t="shared" si="178"/>
        <v>447517.58999999997</v>
      </c>
      <c r="AD100" s="512">
        <v>295517.58999999997</v>
      </c>
      <c r="AE100" s="512">
        <f t="shared" si="175"/>
        <v>256520</v>
      </c>
      <c r="AF100" s="512">
        <f t="shared" si="176"/>
        <v>447517.58999999997</v>
      </c>
      <c r="AG100" s="512">
        <f t="shared" si="176"/>
        <v>291154</v>
      </c>
      <c r="AH100" s="513">
        <f t="shared" si="177"/>
        <v>206119</v>
      </c>
      <c r="AI100" s="514" t="s">
        <v>520</v>
      </c>
      <c r="AJ100" s="515" t="s">
        <v>474</v>
      </c>
      <c r="AK100" s="515" t="s">
        <v>419</v>
      </c>
      <c r="AL100" s="515" t="s">
        <v>420</v>
      </c>
      <c r="AM100" s="516" t="s">
        <v>521</v>
      </c>
    </row>
    <row r="101" spans="2:39" ht="13.5" customHeight="1" x14ac:dyDescent="0.25">
      <c r="B101" s="710" t="s">
        <v>539</v>
      </c>
      <c r="C101" s="527" t="s">
        <v>202</v>
      </c>
      <c r="D101" s="510">
        <v>21912.42</v>
      </c>
      <c r="E101" s="828">
        <v>23124</v>
      </c>
      <c r="F101" s="512">
        <v>21912.42</v>
      </c>
      <c r="G101" s="842">
        <v>29566</v>
      </c>
      <c r="H101" s="519">
        <v>27709</v>
      </c>
      <c r="I101" s="510">
        <v>7910</v>
      </c>
      <c r="J101" s="511">
        <v>7943</v>
      </c>
      <c r="K101" s="512">
        <v>7910</v>
      </c>
      <c r="L101" s="512">
        <v>6548</v>
      </c>
      <c r="M101" s="519">
        <v>6262</v>
      </c>
      <c r="N101" s="510">
        <v>68734</v>
      </c>
      <c r="O101" s="511">
        <v>59800</v>
      </c>
      <c r="P101" s="512">
        <v>68734</v>
      </c>
      <c r="Q101" s="512">
        <v>54921</v>
      </c>
      <c r="R101" s="519">
        <v>49426</v>
      </c>
      <c r="S101" s="510">
        <v>43143</v>
      </c>
      <c r="T101" s="511">
        <v>96728</v>
      </c>
      <c r="U101" s="512">
        <v>43143</v>
      </c>
      <c r="V101" s="512">
        <v>14588</v>
      </c>
      <c r="W101" s="519">
        <v>14231</v>
      </c>
      <c r="X101" s="510">
        <f t="shared" si="171"/>
        <v>111877</v>
      </c>
      <c r="Y101" s="512">
        <f t="shared" si="172"/>
        <v>156528</v>
      </c>
      <c r="Z101" s="512">
        <f t="shared" si="173"/>
        <v>111877</v>
      </c>
      <c r="AA101" s="512">
        <f t="shared" si="173"/>
        <v>69509</v>
      </c>
      <c r="AB101" s="513">
        <f t="shared" si="174"/>
        <v>63657</v>
      </c>
      <c r="AC101" s="510">
        <f t="shared" si="178"/>
        <v>141699.41999999998</v>
      </c>
      <c r="AD101" s="512">
        <v>141699.41999999998</v>
      </c>
      <c r="AE101" s="512">
        <f t="shared" si="175"/>
        <v>187595</v>
      </c>
      <c r="AF101" s="512">
        <f t="shared" si="176"/>
        <v>141699.41999999998</v>
      </c>
      <c r="AG101" s="512">
        <f t="shared" si="176"/>
        <v>105623</v>
      </c>
      <c r="AH101" s="513">
        <f t="shared" si="177"/>
        <v>97628</v>
      </c>
      <c r="AI101" s="514" t="s">
        <v>520</v>
      </c>
      <c r="AJ101" s="515" t="s">
        <v>474</v>
      </c>
      <c r="AK101" s="515" t="s">
        <v>419</v>
      </c>
      <c r="AL101" s="515" t="s">
        <v>420</v>
      </c>
      <c r="AM101" s="516" t="s">
        <v>521</v>
      </c>
    </row>
    <row r="102" spans="2:39" ht="13.5" customHeight="1" x14ac:dyDescent="0.25">
      <c r="B102" s="710" t="s">
        <v>540</v>
      </c>
      <c r="C102" s="527" t="s">
        <v>60</v>
      </c>
      <c r="D102" s="510">
        <v>49075.3</v>
      </c>
      <c r="E102" s="828">
        <v>48766</v>
      </c>
      <c r="F102" s="512">
        <v>49075.3</v>
      </c>
      <c r="G102" s="842">
        <v>26939</v>
      </c>
      <c r="H102" s="519">
        <v>21004</v>
      </c>
      <c r="I102" s="510">
        <v>10973</v>
      </c>
      <c r="J102" s="511">
        <v>4147</v>
      </c>
      <c r="K102" s="512">
        <v>10973</v>
      </c>
      <c r="L102" s="512">
        <v>6400</v>
      </c>
      <c r="M102" s="519">
        <v>0</v>
      </c>
      <c r="N102" s="510">
        <v>88124.3</v>
      </c>
      <c r="O102" s="511">
        <f>40+87330</f>
        <v>87370</v>
      </c>
      <c r="P102" s="512">
        <v>88124.3</v>
      </c>
      <c r="Q102" s="512">
        <v>90953</v>
      </c>
      <c r="R102" s="519">
        <v>92981</v>
      </c>
      <c r="S102" s="510">
        <v>101049</v>
      </c>
      <c r="T102" s="511">
        <f>-40+3646</f>
        <v>3606</v>
      </c>
      <c r="U102" s="512">
        <v>101049</v>
      </c>
      <c r="V102" s="512">
        <v>60710</v>
      </c>
      <c r="W102" s="519">
        <v>58206</v>
      </c>
      <c r="X102" s="510">
        <f t="shared" si="171"/>
        <v>189173.3</v>
      </c>
      <c r="Y102" s="512">
        <f t="shared" si="172"/>
        <v>90976</v>
      </c>
      <c r="Z102" s="512">
        <f t="shared" si="173"/>
        <v>189173.3</v>
      </c>
      <c r="AA102" s="512">
        <f t="shared" si="173"/>
        <v>151663</v>
      </c>
      <c r="AB102" s="513">
        <f t="shared" si="174"/>
        <v>151187</v>
      </c>
      <c r="AC102" s="510">
        <f t="shared" si="178"/>
        <v>249221.59999999998</v>
      </c>
      <c r="AD102" s="512">
        <v>249221.59999999998</v>
      </c>
      <c r="AE102" s="512">
        <f t="shared" si="175"/>
        <v>143889</v>
      </c>
      <c r="AF102" s="512">
        <f t="shared" si="176"/>
        <v>249221.59999999998</v>
      </c>
      <c r="AG102" s="512">
        <f t="shared" si="176"/>
        <v>185002</v>
      </c>
      <c r="AH102" s="513">
        <f t="shared" si="177"/>
        <v>172191</v>
      </c>
      <c r="AI102" s="514" t="s">
        <v>520</v>
      </c>
      <c r="AJ102" s="515" t="s">
        <v>474</v>
      </c>
      <c r="AK102" s="515" t="s">
        <v>419</v>
      </c>
      <c r="AL102" s="515" t="s">
        <v>420</v>
      </c>
      <c r="AM102" s="516" t="s">
        <v>521</v>
      </c>
    </row>
    <row r="103" spans="2:39" ht="13.5" customHeight="1" x14ac:dyDescent="0.25">
      <c r="B103" s="710" t="s">
        <v>541</v>
      </c>
      <c r="C103" s="527" t="s">
        <v>89</v>
      </c>
      <c r="D103" s="521">
        <v>0</v>
      </c>
      <c r="E103" s="828">
        <v>1090618</v>
      </c>
      <c r="F103" s="512">
        <v>0</v>
      </c>
      <c r="G103" s="842">
        <v>8065</v>
      </c>
      <c r="H103" s="519">
        <v>76619</v>
      </c>
      <c r="I103" s="534">
        <v>0</v>
      </c>
      <c r="J103" s="511">
        <v>38690</v>
      </c>
      <c r="K103" s="512">
        <v>0</v>
      </c>
      <c r="L103" s="512">
        <v>0</v>
      </c>
      <c r="M103" s="519">
        <v>0</v>
      </c>
      <c r="N103" s="521">
        <v>0</v>
      </c>
      <c r="O103" s="511">
        <v>1753928</v>
      </c>
      <c r="P103" s="512">
        <v>0</v>
      </c>
      <c r="Q103" s="512">
        <v>838127</v>
      </c>
      <c r="R103" s="519">
        <v>1011016</v>
      </c>
      <c r="S103" s="521">
        <v>0</v>
      </c>
      <c r="T103" s="511">
        <v>0</v>
      </c>
      <c r="U103" s="518">
        <v>0</v>
      </c>
      <c r="V103" s="512"/>
      <c r="W103" s="519">
        <v>0</v>
      </c>
      <c r="X103" s="510">
        <f t="shared" si="171"/>
        <v>0</v>
      </c>
      <c r="Y103" s="512">
        <f t="shared" si="172"/>
        <v>1753928</v>
      </c>
      <c r="Z103" s="512">
        <f t="shared" si="173"/>
        <v>0</v>
      </c>
      <c r="AA103" s="512">
        <f t="shared" si="173"/>
        <v>838127</v>
      </c>
      <c r="AB103" s="513">
        <f t="shared" si="174"/>
        <v>1011016</v>
      </c>
      <c r="AC103" s="510">
        <f t="shared" si="178"/>
        <v>0</v>
      </c>
      <c r="AD103" s="512">
        <v>0</v>
      </c>
      <c r="AE103" s="512">
        <f t="shared" si="175"/>
        <v>2883236</v>
      </c>
      <c r="AF103" s="512">
        <f t="shared" si="176"/>
        <v>0</v>
      </c>
      <c r="AG103" s="512">
        <f t="shared" si="176"/>
        <v>846192</v>
      </c>
      <c r="AH103" s="513">
        <f t="shared" si="177"/>
        <v>1087635</v>
      </c>
      <c r="AI103" s="514" t="s">
        <v>520</v>
      </c>
      <c r="AJ103" s="515" t="s">
        <v>474</v>
      </c>
      <c r="AK103" s="515" t="s">
        <v>434</v>
      </c>
      <c r="AL103" s="515" t="s">
        <v>420</v>
      </c>
      <c r="AM103" s="516" t="s">
        <v>521</v>
      </c>
    </row>
    <row r="104" spans="2:39" ht="13.5" customHeight="1" x14ac:dyDescent="0.25">
      <c r="B104" s="710" t="s">
        <v>183</v>
      </c>
      <c r="C104" s="527" t="s">
        <v>201</v>
      </c>
      <c r="D104" s="510">
        <v>0</v>
      </c>
      <c r="E104" s="828">
        <v>4370</v>
      </c>
      <c r="F104" s="518">
        <v>0</v>
      </c>
      <c r="G104" s="829">
        <v>10151</v>
      </c>
      <c r="H104" s="519">
        <v>20279</v>
      </c>
      <c r="I104" s="510">
        <v>0</v>
      </c>
      <c r="J104" s="511">
        <v>6415</v>
      </c>
      <c r="K104" s="518">
        <v>0</v>
      </c>
      <c r="L104" s="518">
        <v>0</v>
      </c>
      <c r="M104" s="519">
        <v>808</v>
      </c>
      <c r="N104" s="521">
        <v>0</v>
      </c>
      <c r="O104" s="511">
        <v>37752</v>
      </c>
      <c r="P104" s="518">
        <v>0</v>
      </c>
      <c r="Q104" s="518">
        <v>29309</v>
      </c>
      <c r="R104" s="519">
        <v>29044</v>
      </c>
      <c r="S104" s="521">
        <v>0</v>
      </c>
      <c r="T104" s="518">
        <v>0</v>
      </c>
      <c r="U104" s="518">
        <v>0</v>
      </c>
      <c r="V104" s="518">
        <v>100531</v>
      </c>
      <c r="W104" s="519">
        <v>107990</v>
      </c>
      <c r="X104" s="510">
        <f t="shared" si="171"/>
        <v>0</v>
      </c>
      <c r="Y104" s="512">
        <f t="shared" si="172"/>
        <v>37752</v>
      </c>
      <c r="Z104" s="512">
        <f t="shared" si="173"/>
        <v>0</v>
      </c>
      <c r="AA104" s="512">
        <f t="shared" si="173"/>
        <v>129840</v>
      </c>
      <c r="AB104" s="513">
        <f t="shared" si="174"/>
        <v>137034</v>
      </c>
      <c r="AC104" s="510">
        <f t="shared" si="178"/>
        <v>0</v>
      </c>
      <c r="AD104" s="512">
        <v>185000</v>
      </c>
      <c r="AE104" s="512">
        <f t="shared" si="175"/>
        <v>48537</v>
      </c>
      <c r="AF104" s="512">
        <f t="shared" si="176"/>
        <v>0</v>
      </c>
      <c r="AG104" s="512">
        <f t="shared" si="176"/>
        <v>139991</v>
      </c>
      <c r="AH104" s="513">
        <f t="shared" si="177"/>
        <v>158121</v>
      </c>
      <c r="AI104" s="514" t="s">
        <v>520</v>
      </c>
      <c r="AJ104" s="515" t="s">
        <v>474</v>
      </c>
      <c r="AK104" s="515" t="s">
        <v>419</v>
      </c>
      <c r="AL104" s="515" t="s">
        <v>420</v>
      </c>
      <c r="AM104" s="516" t="s">
        <v>521</v>
      </c>
    </row>
    <row r="105" spans="2:39" ht="13.5" customHeight="1" x14ac:dyDescent="0.25">
      <c r="B105" s="710" t="s">
        <v>184</v>
      </c>
      <c r="C105" s="527" t="s">
        <v>67</v>
      </c>
      <c r="D105" s="510">
        <v>0</v>
      </c>
      <c r="E105" s="828">
        <v>1359</v>
      </c>
      <c r="F105" s="518">
        <v>0</v>
      </c>
      <c r="G105" s="829">
        <v>10322</v>
      </c>
      <c r="H105" s="519">
        <v>38596</v>
      </c>
      <c r="I105" s="510">
        <v>0</v>
      </c>
      <c r="J105" s="511">
        <v>699</v>
      </c>
      <c r="K105" s="518">
        <v>0</v>
      </c>
      <c r="L105" s="518">
        <v>699</v>
      </c>
      <c r="M105" s="519">
        <v>820</v>
      </c>
      <c r="N105" s="521">
        <v>0</v>
      </c>
      <c r="O105" s="511">
        <v>8911</v>
      </c>
      <c r="P105" s="518">
        <v>0</v>
      </c>
      <c r="Q105" s="518">
        <v>35730</v>
      </c>
      <c r="R105" s="519">
        <v>23829</v>
      </c>
      <c r="S105" s="521">
        <v>0</v>
      </c>
      <c r="T105" s="518">
        <v>0</v>
      </c>
      <c r="U105" s="518">
        <v>0</v>
      </c>
      <c r="V105" s="518">
        <v>50285</v>
      </c>
      <c r="W105" s="519">
        <v>60671</v>
      </c>
      <c r="X105" s="510">
        <f t="shared" si="171"/>
        <v>0</v>
      </c>
      <c r="Y105" s="512">
        <f t="shared" si="172"/>
        <v>8911</v>
      </c>
      <c r="Z105" s="512">
        <f t="shared" si="173"/>
        <v>0</v>
      </c>
      <c r="AA105" s="512">
        <f t="shared" si="173"/>
        <v>86015</v>
      </c>
      <c r="AB105" s="513">
        <f t="shared" si="174"/>
        <v>84500</v>
      </c>
      <c r="AC105" s="510">
        <f t="shared" si="178"/>
        <v>0</v>
      </c>
      <c r="AD105" s="512">
        <v>194250</v>
      </c>
      <c r="AE105" s="512">
        <f t="shared" si="175"/>
        <v>10969</v>
      </c>
      <c r="AF105" s="512">
        <f t="shared" si="176"/>
        <v>0</v>
      </c>
      <c r="AG105" s="512">
        <f t="shared" si="176"/>
        <v>97036</v>
      </c>
      <c r="AH105" s="513">
        <f t="shared" si="177"/>
        <v>123916</v>
      </c>
      <c r="AI105" s="514" t="s">
        <v>520</v>
      </c>
      <c r="AJ105" s="515" t="s">
        <v>474</v>
      </c>
      <c r="AK105" s="515" t="s">
        <v>419</v>
      </c>
      <c r="AL105" s="515" t="s">
        <v>420</v>
      </c>
      <c r="AM105" s="516" t="s">
        <v>521</v>
      </c>
    </row>
    <row r="106" spans="2:39" ht="13.5" customHeight="1" x14ac:dyDescent="0.25">
      <c r="B106" s="710" t="s">
        <v>542</v>
      </c>
      <c r="C106" s="527" t="s">
        <v>63</v>
      </c>
      <c r="D106" s="510">
        <v>106629</v>
      </c>
      <c r="E106" s="828">
        <v>56969</v>
      </c>
      <c r="F106" s="512">
        <v>106629</v>
      </c>
      <c r="G106" s="842">
        <v>80959</v>
      </c>
      <c r="H106" s="519">
        <v>62616</v>
      </c>
      <c r="I106" s="510">
        <v>10717</v>
      </c>
      <c r="J106" s="511">
        <v>780</v>
      </c>
      <c r="K106" s="512">
        <v>10717</v>
      </c>
      <c r="L106" s="512">
        <v>0</v>
      </c>
      <c r="M106" s="519">
        <v>0</v>
      </c>
      <c r="N106" s="510">
        <v>418348</v>
      </c>
      <c r="O106" s="511">
        <v>282235</v>
      </c>
      <c r="P106" s="512">
        <v>418348</v>
      </c>
      <c r="Q106" s="512">
        <v>395222</v>
      </c>
      <c r="R106" s="519">
        <v>378204</v>
      </c>
      <c r="S106" s="510">
        <v>438825</v>
      </c>
      <c r="T106" s="511">
        <v>714108</v>
      </c>
      <c r="U106" s="512">
        <v>438825</v>
      </c>
      <c r="V106" s="512">
        <v>236995</v>
      </c>
      <c r="W106" s="519">
        <v>212823</v>
      </c>
      <c r="X106" s="510">
        <f t="shared" si="171"/>
        <v>857173</v>
      </c>
      <c r="Y106" s="512">
        <f t="shared" si="172"/>
        <v>996343</v>
      </c>
      <c r="Z106" s="512">
        <f t="shared" si="173"/>
        <v>857173</v>
      </c>
      <c r="AA106" s="512">
        <f t="shared" si="173"/>
        <v>632217</v>
      </c>
      <c r="AB106" s="513">
        <f t="shared" si="174"/>
        <v>591027</v>
      </c>
      <c r="AC106" s="510">
        <f t="shared" si="178"/>
        <v>974519</v>
      </c>
      <c r="AD106" s="512">
        <v>776519</v>
      </c>
      <c r="AE106" s="512">
        <f t="shared" si="175"/>
        <v>1054092</v>
      </c>
      <c r="AF106" s="512">
        <f t="shared" si="176"/>
        <v>974519</v>
      </c>
      <c r="AG106" s="512">
        <f t="shared" si="176"/>
        <v>713176</v>
      </c>
      <c r="AH106" s="513">
        <f t="shared" si="177"/>
        <v>653643</v>
      </c>
      <c r="AI106" s="514" t="s">
        <v>520</v>
      </c>
      <c r="AJ106" s="515" t="s">
        <v>474</v>
      </c>
      <c r="AK106" s="515" t="s">
        <v>419</v>
      </c>
      <c r="AL106" s="515" t="s">
        <v>420</v>
      </c>
      <c r="AM106" s="516" t="s">
        <v>521</v>
      </c>
    </row>
    <row r="107" spans="2:39" ht="13.5" customHeight="1" x14ac:dyDescent="0.25">
      <c r="B107" s="710" t="s">
        <v>543</v>
      </c>
      <c r="C107" s="527" t="s">
        <v>64</v>
      </c>
      <c r="D107" s="510">
        <v>71649</v>
      </c>
      <c r="E107" s="828">
        <v>53181</v>
      </c>
      <c r="F107" s="512">
        <v>71649</v>
      </c>
      <c r="G107" s="842">
        <v>45393</v>
      </c>
      <c r="H107" s="519">
        <v>33602</v>
      </c>
      <c r="I107" s="510">
        <v>30111</v>
      </c>
      <c r="J107" s="511">
        <v>0</v>
      </c>
      <c r="K107" s="512">
        <v>30111</v>
      </c>
      <c r="L107" s="512">
        <v>0</v>
      </c>
      <c r="M107" s="519">
        <v>2073</v>
      </c>
      <c r="N107" s="510">
        <v>146405</v>
      </c>
      <c r="O107" s="511">
        <v>103417</v>
      </c>
      <c r="P107" s="512">
        <v>146405</v>
      </c>
      <c r="Q107" s="512">
        <v>187645</v>
      </c>
      <c r="R107" s="519">
        <v>98845</v>
      </c>
      <c r="S107" s="510">
        <v>200700</v>
      </c>
      <c r="T107" s="511">
        <v>11266</v>
      </c>
      <c r="U107" s="512">
        <v>200700</v>
      </c>
      <c r="V107" s="512">
        <v>3153</v>
      </c>
      <c r="W107" s="519">
        <v>11825</v>
      </c>
      <c r="X107" s="510">
        <f t="shared" si="171"/>
        <v>347105</v>
      </c>
      <c r="Y107" s="512">
        <f t="shared" si="172"/>
        <v>114683</v>
      </c>
      <c r="Z107" s="512">
        <f t="shared" si="173"/>
        <v>347105</v>
      </c>
      <c r="AA107" s="512">
        <f t="shared" si="173"/>
        <v>190798</v>
      </c>
      <c r="AB107" s="513">
        <f t="shared" si="174"/>
        <v>110670</v>
      </c>
      <c r="AC107" s="510">
        <f t="shared" si="178"/>
        <v>448865</v>
      </c>
      <c r="AD107" s="512">
        <v>168865</v>
      </c>
      <c r="AE107" s="512">
        <f t="shared" si="175"/>
        <v>167864</v>
      </c>
      <c r="AF107" s="512">
        <f t="shared" si="176"/>
        <v>448865</v>
      </c>
      <c r="AG107" s="512">
        <f t="shared" si="176"/>
        <v>236191</v>
      </c>
      <c r="AH107" s="513">
        <f t="shared" si="177"/>
        <v>146345</v>
      </c>
      <c r="AI107" s="514" t="s">
        <v>520</v>
      </c>
      <c r="AJ107" s="515" t="s">
        <v>474</v>
      </c>
      <c r="AK107" s="515" t="s">
        <v>419</v>
      </c>
      <c r="AL107" s="515" t="s">
        <v>420</v>
      </c>
      <c r="AM107" s="516" t="s">
        <v>521</v>
      </c>
    </row>
    <row r="108" spans="2:39" ht="13.5" customHeight="1" x14ac:dyDescent="0.25">
      <c r="B108" s="710" t="s">
        <v>544</v>
      </c>
      <c r="C108" s="527" t="s">
        <v>65</v>
      </c>
      <c r="D108" s="510">
        <v>71190</v>
      </c>
      <c r="E108" s="828">
        <v>55492</v>
      </c>
      <c r="F108" s="512">
        <v>71190</v>
      </c>
      <c r="G108" s="842">
        <v>55510</v>
      </c>
      <c r="H108" s="519">
        <v>49487</v>
      </c>
      <c r="I108" s="510">
        <v>29601</v>
      </c>
      <c r="J108" s="511">
        <v>1735</v>
      </c>
      <c r="K108" s="512">
        <v>29601</v>
      </c>
      <c r="L108" s="512">
        <v>1686</v>
      </c>
      <c r="M108" s="519">
        <v>586</v>
      </c>
      <c r="N108" s="510">
        <v>236564</v>
      </c>
      <c r="O108" s="511">
        <v>105893</v>
      </c>
      <c r="P108" s="512">
        <v>236564</v>
      </c>
      <c r="Q108" s="512">
        <v>253208</v>
      </c>
      <c r="R108" s="519">
        <v>229398</v>
      </c>
      <c r="S108" s="510">
        <v>232723</v>
      </c>
      <c r="T108" s="511">
        <v>253434</v>
      </c>
      <c r="U108" s="512">
        <v>232723</v>
      </c>
      <c r="V108" s="512">
        <v>44122</v>
      </c>
      <c r="W108" s="519">
        <v>72115</v>
      </c>
      <c r="X108" s="510">
        <f t="shared" si="171"/>
        <v>469287</v>
      </c>
      <c r="Y108" s="512">
        <f t="shared" si="172"/>
        <v>359327</v>
      </c>
      <c r="Z108" s="512">
        <f t="shared" si="173"/>
        <v>469287</v>
      </c>
      <c r="AA108" s="512">
        <f t="shared" si="173"/>
        <v>297330</v>
      </c>
      <c r="AB108" s="513">
        <f t="shared" si="174"/>
        <v>301513</v>
      </c>
      <c r="AC108" s="510">
        <f t="shared" si="178"/>
        <v>570078</v>
      </c>
      <c r="AD108" s="512">
        <v>420078</v>
      </c>
      <c r="AE108" s="512">
        <f t="shared" si="175"/>
        <v>416554</v>
      </c>
      <c r="AF108" s="512">
        <f t="shared" si="176"/>
        <v>570078</v>
      </c>
      <c r="AG108" s="512">
        <f t="shared" si="176"/>
        <v>354526</v>
      </c>
      <c r="AH108" s="513">
        <f t="shared" si="177"/>
        <v>351586</v>
      </c>
      <c r="AI108" s="514" t="s">
        <v>520</v>
      </c>
      <c r="AJ108" s="515" t="s">
        <v>474</v>
      </c>
      <c r="AK108" s="515" t="s">
        <v>419</v>
      </c>
      <c r="AL108" s="515" t="s">
        <v>420</v>
      </c>
      <c r="AM108" s="516" t="s">
        <v>521</v>
      </c>
    </row>
    <row r="109" spans="2:39" ht="13.5" customHeight="1" x14ac:dyDescent="0.25">
      <c r="B109" s="718" t="s">
        <v>545</v>
      </c>
      <c r="C109" s="523" t="s">
        <v>546</v>
      </c>
      <c r="D109" s="501">
        <f>SUM(D110:D116)</f>
        <v>912022</v>
      </c>
      <c r="E109" s="827">
        <f t="shared" ref="E109:AH109" si="179">SUM(E110:E116)</f>
        <v>759226</v>
      </c>
      <c r="F109" s="501">
        <f t="shared" si="179"/>
        <v>912022</v>
      </c>
      <c r="G109" s="827">
        <f t="shared" ref="G109" si="180">SUM(G110:G116)</f>
        <v>723964</v>
      </c>
      <c r="H109" s="501">
        <f t="shared" si="179"/>
        <v>777810</v>
      </c>
      <c r="I109" s="501">
        <f t="shared" si="179"/>
        <v>172660</v>
      </c>
      <c r="J109" s="501">
        <f t="shared" si="179"/>
        <v>22364</v>
      </c>
      <c r="K109" s="501">
        <f t="shared" si="179"/>
        <v>172660</v>
      </c>
      <c r="L109" s="501">
        <f t="shared" ref="L109" si="181">SUM(L110:L116)</f>
        <v>1530</v>
      </c>
      <c r="M109" s="501">
        <f t="shared" si="179"/>
        <v>110651</v>
      </c>
      <c r="N109" s="501">
        <f t="shared" si="179"/>
        <v>4615099</v>
      </c>
      <c r="O109" s="501">
        <f t="shared" si="179"/>
        <v>1445233.4</v>
      </c>
      <c r="P109" s="501">
        <f t="shared" si="179"/>
        <v>4615099</v>
      </c>
      <c r="Q109" s="501">
        <f t="shared" ref="Q109" si="182">SUM(Q110:Q116)</f>
        <v>5490239</v>
      </c>
      <c r="R109" s="501">
        <f t="shared" si="179"/>
        <v>3945351</v>
      </c>
      <c r="S109" s="501">
        <f t="shared" si="179"/>
        <v>6232235</v>
      </c>
      <c r="T109" s="501">
        <f t="shared" si="179"/>
        <v>6088547.9799999995</v>
      </c>
      <c r="U109" s="501">
        <f t="shared" si="179"/>
        <v>6232235</v>
      </c>
      <c r="V109" s="501">
        <f t="shared" ref="V109" si="183">SUM(V110:V116)</f>
        <v>2458616</v>
      </c>
      <c r="W109" s="501">
        <f t="shared" si="179"/>
        <v>5281295.4000000004</v>
      </c>
      <c r="X109" s="501">
        <f t="shared" si="179"/>
        <v>10847334</v>
      </c>
      <c r="Y109" s="501">
        <f t="shared" si="179"/>
        <v>7533781.3799999999</v>
      </c>
      <c r="Z109" s="501">
        <f t="shared" si="179"/>
        <v>10847334</v>
      </c>
      <c r="AA109" s="501">
        <f t="shared" ref="AA109" si="184">SUM(AA110:AA116)</f>
        <v>7948855</v>
      </c>
      <c r="AB109" s="501">
        <f t="shared" si="179"/>
        <v>9226646.4000000004</v>
      </c>
      <c r="AC109" s="501">
        <f t="shared" si="179"/>
        <v>11932016</v>
      </c>
      <c r="AD109" s="501">
        <f t="shared" si="179"/>
        <v>11096016</v>
      </c>
      <c r="AE109" s="501">
        <f t="shared" si="179"/>
        <v>8315371.3799999999</v>
      </c>
      <c r="AF109" s="501">
        <f t="shared" si="179"/>
        <v>11932016</v>
      </c>
      <c r="AG109" s="501">
        <f t="shared" ref="AG109" si="185">SUM(AG110:AG116)</f>
        <v>8674349</v>
      </c>
      <c r="AH109" s="501">
        <f t="shared" si="179"/>
        <v>10115107.4</v>
      </c>
      <c r="AI109" s="524" t="s">
        <v>520</v>
      </c>
      <c r="AJ109" s="525" t="s">
        <v>474</v>
      </c>
      <c r="AK109" s="535">
        <f>SUM(AK110:AK114)</f>
        <v>0</v>
      </c>
      <c r="AL109" s="535">
        <f>SUM(AL110:AL114)</f>
        <v>0</v>
      </c>
      <c r="AM109" s="526" t="s">
        <v>521</v>
      </c>
    </row>
    <row r="110" spans="2:39" ht="13.5" customHeight="1" x14ac:dyDescent="0.25">
      <c r="B110" s="710" t="s">
        <v>547</v>
      </c>
      <c r="C110" s="509" t="s">
        <v>61</v>
      </c>
      <c r="D110" s="510">
        <v>135620</v>
      </c>
      <c r="E110" s="828">
        <v>87094</v>
      </c>
      <c r="F110" s="512">
        <v>135620</v>
      </c>
      <c r="G110" s="842">
        <v>206860</v>
      </c>
      <c r="H110" s="519">
        <v>181997</v>
      </c>
      <c r="I110" s="510">
        <v>34704</v>
      </c>
      <c r="J110" s="511">
        <v>0</v>
      </c>
      <c r="K110" s="512">
        <v>34704</v>
      </c>
      <c r="L110" s="512">
        <v>780</v>
      </c>
      <c r="M110" s="519">
        <v>0</v>
      </c>
      <c r="N110" s="510">
        <v>1480007</v>
      </c>
      <c r="O110" s="511">
        <v>1111004</v>
      </c>
      <c r="P110" s="512">
        <v>1480007</v>
      </c>
      <c r="Q110" s="512">
        <v>1196377</v>
      </c>
      <c r="R110" s="519">
        <v>1125197</v>
      </c>
      <c r="S110" s="510">
        <v>1424834</v>
      </c>
      <c r="T110" s="511">
        <v>2163744</v>
      </c>
      <c r="U110" s="512">
        <v>1424834</v>
      </c>
      <c r="V110" s="512">
        <v>1066579</v>
      </c>
      <c r="W110" s="519">
        <v>1154910</v>
      </c>
      <c r="X110" s="510">
        <f t="shared" ref="X110:AA116" si="186">+N110+S110</f>
        <v>2904841</v>
      </c>
      <c r="Y110" s="512">
        <f t="shared" si="186"/>
        <v>3274748</v>
      </c>
      <c r="Z110" s="512">
        <f t="shared" si="186"/>
        <v>2904841</v>
      </c>
      <c r="AA110" s="512">
        <f t="shared" si="186"/>
        <v>2262956</v>
      </c>
      <c r="AB110" s="513">
        <f t="shared" ref="AB110:AB114" si="187">+R110+W110</f>
        <v>2280107</v>
      </c>
      <c r="AC110" s="510">
        <f t="shared" ref="AC110:AC114" si="188">+D110+I110+X110</f>
        <v>3075165</v>
      </c>
      <c r="AD110" s="512">
        <v>3075165</v>
      </c>
      <c r="AE110" s="512">
        <f t="shared" ref="AE110:AG116" si="189">+E110+J110+Y110</f>
        <v>3361842</v>
      </c>
      <c r="AF110" s="512">
        <f t="shared" si="189"/>
        <v>3075165</v>
      </c>
      <c r="AG110" s="512">
        <f t="shared" si="189"/>
        <v>2470596</v>
      </c>
      <c r="AH110" s="513">
        <f t="shared" ref="AH110:AH114" si="190">+H110+M110+AB110</f>
        <v>2462104</v>
      </c>
      <c r="AI110" s="514" t="s">
        <v>520</v>
      </c>
      <c r="AJ110" s="515" t="s">
        <v>474</v>
      </c>
      <c r="AK110" s="515" t="s">
        <v>419</v>
      </c>
      <c r="AL110" s="515" t="s">
        <v>420</v>
      </c>
      <c r="AM110" s="516" t="s">
        <v>521</v>
      </c>
    </row>
    <row r="111" spans="2:39" ht="13.5" customHeight="1" x14ac:dyDescent="0.25">
      <c r="B111" s="710" t="s">
        <v>548</v>
      </c>
      <c r="C111" s="509" t="s">
        <v>62</v>
      </c>
      <c r="D111" s="510">
        <v>71879</v>
      </c>
      <c r="E111" s="828">
        <v>53313</v>
      </c>
      <c r="F111" s="512">
        <v>71879</v>
      </c>
      <c r="G111" s="842">
        <v>62254</v>
      </c>
      <c r="H111" s="519">
        <v>93599</v>
      </c>
      <c r="I111" s="510">
        <v>510</v>
      </c>
      <c r="J111" s="511">
        <v>-144</v>
      </c>
      <c r="K111" s="512">
        <v>510</v>
      </c>
      <c r="L111" s="512">
        <v>0</v>
      </c>
      <c r="M111" s="519">
        <v>0</v>
      </c>
      <c r="N111" s="510">
        <v>159440</v>
      </c>
      <c r="O111" s="511">
        <v>221658</v>
      </c>
      <c r="P111" s="512">
        <v>159440</v>
      </c>
      <c r="Q111" s="512">
        <v>163381</v>
      </c>
      <c r="R111" s="519">
        <v>352942</v>
      </c>
      <c r="S111" s="510">
        <v>412338</v>
      </c>
      <c r="T111" s="511">
        <v>340601</v>
      </c>
      <c r="U111" s="512">
        <v>412338</v>
      </c>
      <c r="V111" s="512">
        <v>396191</v>
      </c>
      <c r="W111" s="519">
        <v>605767</v>
      </c>
      <c r="X111" s="510">
        <f t="shared" si="186"/>
        <v>571778</v>
      </c>
      <c r="Y111" s="512">
        <f t="shared" si="186"/>
        <v>562259</v>
      </c>
      <c r="Z111" s="512">
        <f t="shared" si="186"/>
        <v>571778</v>
      </c>
      <c r="AA111" s="512">
        <f t="shared" si="186"/>
        <v>559572</v>
      </c>
      <c r="AB111" s="513">
        <f t="shared" si="187"/>
        <v>958709</v>
      </c>
      <c r="AC111" s="510">
        <f t="shared" si="188"/>
        <v>644167</v>
      </c>
      <c r="AD111" s="512">
        <v>518167</v>
      </c>
      <c r="AE111" s="512">
        <f t="shared" si="189"/>
        <v>615428</v>
      </c>
      <c r="AF111" s="512">
        <f t="shared" si="189"/>
        <v>644167</v>
      </c>
      <c r="AG111" s="512">
        <f t="shared" si="189"/>
        <v>621826</v>
      </c>
      <c r="AH111" s="513">
        <f t="shared" si="190"/>
        <v>1052308</v>
      </c>
      <c r="AI111" s="514" t="s">
        <v>520</v>
      </c>
      <c r="AJ111" s="515" t="s">
        <v>474</v>
      </c>
      <c r="AK111" s="515" t="s">
        <v>419</v>
      </c>
      <c r="AL111" s="515" t="s">
        <v>420</v>
      </c>
      <c r="AM111" s="516" t="s">
        <v>521</v>
      </c>
    </row>
    <row r="112" spans="2:39" ht="13.5" customHeight="1" x14ac:dyDescent="0.25">
      <c r="B112" s="710" t="s">
        <v>549</v>
      </c>
      <c r="C112" s="527" t="s">
        <v>66</v>
      </c>
      <c r="D112" s="510">
        <v>89057</v>
      </c>
      <c r="E112" s="828">
        <v>57962</v>
      </c>
      <c r="F112" s="512">
        <v>89057</v>
      </c>
      <c r="G112" s="842">
        <v>68115</v>
      </c>
      <c r="H112" s="519">
        <v>89195</v>
      </c>
      <c r="I112" s="510">
        <v>766</v>
      </c>
      <c r="J112" s="511">
        <v>-6</v>
      </c>
      <c r="K112" s="512">
        <v>766</v>
      </c>
      <c r="L112" s="512">
        <v>750</v>
      </c>
      <c r="M112" s="519">
        <v>0</v>
      </c>
      <c r="N112" s="510">
        <v>241402</v>
      </c>
      <c r="O112" s="511">
        <v>473031</v>
      </c>
      <c r="P112" s="512">
        <v>241402</v>
      </c>
      <c r="Q112" s="512">
        <v>239753</v>
      </c>
      <c r="R112" s="519">
        <v>365955</v>
      </c>
      <c r="S112" s="510">
        <v>413562</v>
      </c>
      <c r="T112" s="511">
        <v>117176</v>
      </c>
      <c r="U112" s="512">
        <v>413562</v>
      </c>
      <c r="V112" s="512">
        <v>181971</v>
      </c>
      <c r="W112" s="519">
        <v>212909</v>
      </c>
      <c r="X112" s="510">
        <f t="shared" si="186"/>
        <v>654964</v>
      </c>
      <c r="Y112" s="512">
        <f t="shared" si="186"/>
        <v>590207</v>
      </c>
      <c r="Z112" s="512">
        <f t="shared" si="186"/>
        <v>654964</v>
      </c>
      <c r="AA112" s="512">
        <f t="shared" si="186"/>
        <v>421724</v>
      </c>
      <c r="AB112" s="513">
        <f t="shared" si="187"/>
        <v>578864</v>
      </c>
      <c r="AC112" s="510">
        <f t="shared" si="188"/>
        <v>744787</v>
      </c>
      <c r="AD112" s="512">
        <v>534787</v>
      </c>
      <c r="AE112" s="512">
        <f t="shared" si="189"/>
        <v>648163</v>
      </c>
      <c r="AF112" s="512">
        <f t="shared" si="189"/>
        <v>744787</v>
      </c>
      <c r="AG112" s="512">
        <f t="shared" si="189"/>
        <v>490589</v>
      </c>
      <c r="AH112" s="513">
        <f t="shared" si="190"/>
        <v>668059</v>
      </c>
      <c r="AI112" s="514" t="s">
        <v>520</v>
      </c>
      <c r="AJ112" s="515" t="s">
        <v>474</v>
      </c>
      <c r="AK112" s="515" t="s">
        <v>419</v>
      </c>
      <c r="AL112" s="515" t="s">
        <v>420</v>
      </c>
      <c r="AM112" s="516" t="s">
        <v>521</v>
      </c>
    </row>
    <row r="113" spans="2:39" ht="13.5" customHeight="1" x14ac:dyDescent="0.25">
      <c r="B113" s="710" t="s">
        <v>550</v>
      </c>
      <c r="C113" s="509" t="s">
        <v>551</v>
      </c>
      <c r="D113" s="510">
        <v>336532</v>
      </c>
      <c r="E113" s="828">
        <v>211233</v>
      </c>
      <c r="F113" s="512">
        <v>336532</v>
      </c>
      <c r="G113" s="842">
        <v>293329</v>
      </c>
      <c r="H113" s="519">
        <v>154611</v>
      </c>
      <c r="I113" s="510">
        <v>86760</v>
      </c>
      <c r="J113" s="511">
        <v>-4030</v>
      </c>
      <c r="K113" s="512">
        <v>86760</v>
      </c>
      <c r="L113" s="512">
        <v>0</v>
      </c>
      <c r="M113" s="519">
        <v>61473</v>
      </c>
      <c r="N113" s="510">
        <v>1395388</v>
      </c>
      <c r="O113" s="511">
        <f>-4029.6+108446</f>
        <v>104416.4</v>
      </c>
      <c r="P113" s="512">
        <v>1395388</v>
      </c>
      <c r="Q113" s="512">
        <v>1040357</v>
      </c>
      <c r="R113" s="519">
        <v>1113465</v>
      </c>
      <c r="S113" s="510">
        <v>2564708</v>
      </c>
      <c r="T113" s="511">
        <f>4029.6+2409044</f>
        <v>2413073.6</v>
      </c>
      <c r="U113" s="512">
        <v>2564708</v>
      </c>
      <c r="V113" s="512">
        <v>813875</v>
      </c>
      <c r="W113" s="519">
        <v>1134893</v>
      </c>
      <c r="X113" s="510">
        <f t="shared" si="186"/>
        <v>3960096</v>
      </c>
      <c r="Y113" s="512">
        <f t="shared" si="186"/>
        <v>2517490</v>
      </c>
      <c r="Z113" s="512">
        <f t="shared" si="186"/>
        <v>3960096</v>
      </c>
      <c r="AA113" s="512">
        <f t="shared" si="186"/>
        <v>1854232</v>
      </c>
      <c r="AB113" s="513">
        <f t="shared" si="187"/>
        <v>2248358</v>
      </c>
      <c r="AC113" s="510">
        <f t="shared" si="188"/>
        <v>4383388</v>
      </c>
      <c r="AD113" s="512">
        <v>3883388</v>
      </c>
      <c r="AE113" s="512">
        <f t="shared" si="189"/>
        <v>2724693</v>
      </c>
      <c r="AF113" s="512">
        <f t="shared" si="189"/>
        <v>4383388</v>
      </c>
      <c r="AG113" s="512">
        <f t="shared" si="189"/>
        <v>2147561</v>
      </c>
      <c r="AH113" s="513">
        <f t="shared" si="190"/>
        <v>2464442</v>
      </c>
      <c r="AI113" s="514" t="s">
        <v>520</v>
      </c>
      <c r="AJ113" s="515" t="s">
        <v>474</v>
      </c>
      <c r="AK113" s="515" t="s">
        <v>419</v>
      </c>
      <c r="AL113" s="515" t="s">
        <v>420</v>
      </c>
      <c r="AM113" s="516" t="s">
        <v>521</v>
      </c>
    </row>
    <row r="114" spans="2:39" ht="13.5" customHeight="1" x14ac:dyDescent="0.25">
      <c r="B114" s="710" t="s">
        <v>552</v>
      </c>
      <c r="C114" s="509" t="s">
        <v>553</v>
      </c>
      <c r="D114" s="510">
        <v>183571</v>
      </c>
      <c r="E114" s="828">
        <v>135</v>
      </c>
      <c r="F114" s="512">
        <v>183571</v>
      </c>
      <c r="G114" s="842">
        <v>0</v>
      </c>
      <c r="H114" s="519">
        <v>0</v>
      </c>
      <c r="I114" s="510">
        <v>40828</v>
      </c>
      <c r="J114" s="511"/>
      <c r="K114" s="512">
        <v>40828</v>
      </c>
      <c r="L114" s="512">
        <v>0</v>
      </c>
      <c r="M114" s="519">
        <v>0</v>
      </c>
      <c r="N114" s="510">
        <v>1076447</v>
      </c>
      <c r="O114" s="511">
        <v>0</v>
      </c>
      <c r="P114" s="512">
        <v>1076447</v>
      </c>
      <c r="Q114" s="512">
        <v>0</v>
      </c>
      <c r="R114" s="519">
        <v>0</v>
      </c>
      <c r="S114" s="510">
        <v>778765</v>
      </c>
      <c r="T114" s="511">
        <v>0</v>
      </c>
      <c r="U114" s="512">
        <v>778765</v>
      </c>
      <c r="V114" s="512">
        <v>0</v>
      </c>
      <c r="W114" s="519">
        <v>0</v>
      </c>
      <c r="X114" s="510">
        <f t="shared" si="186"/>
        <v>1855212</v>
      </c>
      <c r="Y114" s="512">
        <f t="shared" si="186"/>
        <v>0</v>
      </c>
      <c r="Z114" s="512">
        <f t="shared" si="186"/>
        <v>1855212</v>
      </c>
      <c r="AA114" s="512">
        <f t="shared" si="186"/>
        <v>0</v>
      </c>
      <c r="AB114" s="513">
        <f t="shared" si="187"/>
        <v>0</v>
      </c>
      <c r="AC114" s="510">
        <f t="shared" si="188"/>
        <v>2079611</v>
      </c>
      <c r="AD114" s="512">
        <v>2079611</v>
      </c>
      <c r="AE114" s="512">
        <f t="shared" si="189"/>
        <v>135</v>
      </c>
      <c r="AF114" s="512">
        <f t="shared" si="189"/>
        <v>2079611</v>
      </c>
      <c r="AG114" s="512">
        <f t="shared" si="189"/>
        <v>0</v>
      </c>
      <c r="AH114" s="513">
        <f t="shared" si="190"/>
        <v>0</v>
      </c>
      <c r="AI114" s="514" t="s">
        <v>520</v>
      </c>
      <c r="AJ114" s="515" t="s">
        <v>474</v>
      </c>
      <c r="AK114" s="515" t="s">
        <v>419</v>
      </c>
      <c r="AL114" s="515" t="s">
        <v>431</v>
      </c>
      <c r="AM114" s="516" t="s">
        <v>521</v>
      </c>
    </row>
    <row r="115" spans="2:39" ht="13.5" customHeight="1" x14ac:dyDescent="0.25">
      <c r="B115" s="722" t="s">
        <v>567</v>
      </c>
      <c r="C115" s="527" t="s">
        <v>35</v>
      </c>
      <c r="D115" s="510">
        <v>95363</v>
      </c>
      <c r="E115" s="829">
        <v>349489</v>
      </c>
      <c r="F115" s="518">
        <v>95363</v>
      </c>
      <c r="G115" s="829">
        <v>93406</v>
      </c>
      <c r="H115" s="519">
        <v>164485</v>
      </c>
      <c r="I115" s="510">
        <v>9092</v>
      </c>
      <c r="J115" s="518">
        <v>26544</v>
      </c>
      <c r="K115" s="518">
        <v>9092</v>
      </c>
      <c r="L115" s="518">
        <v>0</v>
      </c>
      <c r="M115" s="519">
        <v>0</v>
      </c>
      <c r="N115" s="510">
        <v>262415</v>
      </c>
      <c r="O115" s="518">
        <v>-464876</v>
      </c>
      <c r="P115" s="518">
        <v>262415</v>
      </c>
      <c r="Q115" s="518">
        <v>2850371</v>
      </c>
      <c r="R115" s="519">
        <v>510210</v>
      </c>
      <c r="S115" s="510">
        <v>638028</v>
      </c>
      <c r="T115" s="518">
        <v>1053953.3799999999</v>
      </c>
      <c r="U115" s="518">
        <v>638028</v>
      </c>
      <c r="V115" s="518">
        <v>0</v>
      </c>
      <c r="W115" s="519">
        <v>1670514</v>
      </c>
      <c r="X115" s="510">
        <f t="shared" si="186"/>
        <v>900443</v>
      </c>
      <c r="Y115" s="512">
        <f t="shared" si="186"/>
        <v>589077.37999999989</v>
      </c>
      <c r="Z115" s="512">
        <f t="shared" si="186"/>
        <v>900443</v>
      </c>
      <c r="AA115" s="512">
        <f t="shared" si="186"/>
        <v>2850371</v>
      </c>
      <c r="AB115" s="513">
        <f t="shared" ref="AB115" si="191">+R115+W115</f>
        <v>2180724</v>
      </c>
      <c r="AC115" s="510">
        <f t="shared" ref="AC115" si="192">+D115+I115+X115</f>
        <v>1004898</v>
      </c>
      <c r="AD115" s="512">
        <v>1004898</v>
      </c>
      <c r="AE115" s="512">
        <f t="shared" si="189"/>
        <v>965110.37999999989</v>
      </c>
      <c r="AF115" s="512">
        <f t="shared" si="189"/>
        <v>1004898</v>
      </c>
      <c r="AG115" s="512">
        <f t="shared" si="189"/>
        <v>2943777</v>
      </c>
      <c r="AH115" s="513">
        <f t="shared" ref="AH115" si="193">+H115+M115+AB115</f>
        <v>2345209</v>
      </c>
      <c r="AI115" s="538" t="s">
        <v>516</v>
      </c>
      <c r="AJ115" s="539" t="s">
        <v>244</v>
      </c>
      <c r="AK115" s="539" t="s">
        <v>419</v>
      </c>
      <c r="AL115" s="539" t="s">
        <v>420</v>
      </c>
      <c r="AM115" s="540" t="s">
        <v>559</v>
      </c>
    </row>
    <row r="116" spans="2:39" ht="13.5" customHeight="1" x14ac:dyDescent="0.25">
      <c r="B116" s="722" t="s">
        <v>584</v>
      </c>
      <c r="C116" s="527" t="s">
        <v>585</v>
      </c>
      <c r="D116" s="510">
        <v>0</v>
      </c>
      <c r="E116" s="829">
        <v>0</v>
      </c>
      <c r="F116" s="518">
        <v>0</v>
      </c>
      <c r="G116" s="829">
        <v>0</v>
      </c>
      <c r="H116" s="519">
        <v>93923</v>
      </c>
      <c r="I116" s="510">
        <v>0</v>
      </c>
      <c r="J116" s="518">
        <v>0</v>
      </c>
      <c r="K116" s="518">
        <v>0</v>
      </c>
      <c r="L116" s="518">
        <v>0</v>
      </c>
      <c r="M116" s="519">
        <v>49178</v>
      </c>
      <c r="N116" s="510">
        <v>0</v>
      </c>
      <c r="O116" s="518">
        <v>0</v>
      </c>
      <c r="P116" s="518">
        <v>0</v>
      </c>
      <c r="Q116" s="518">
        <v>0</v>
      </c>
      <c r="R116" s="519">
        <v>477582</v>
      </c>
      <c r="S116" s="510">
        <v>0</v>
      </c>
      <c r="T116" s="518">
        <v>0</v>
      </c>
      <c r="U116" s="518">
        <v>0</v>
      </c>
      <c r="V116" s="518">
        <v>0</v>
      </c>
      <c r="W116" s="519">
        <v>502302.4</v>
      </c>
      <c r="X116" s="510">
        <f t="shared" si="186"/>
        <v>0</v>
      </c>
      <c r="Y116" s="512">
        <f t="shared" si="186"/>
        <v>0</v>
      </c>
      <c r="Z116" s="512">
        <f t="shared" si="186"/>
        <v>0</v>
      </c>
      <c r="AA116" s="512">
        <f t="shared" si="186"/>
        <v>0</v>
      </c>
      <c r="AB116" s="513">
        <f t="shared" ref="AB116" si="194">+R116+W116</f>
        <v>979884.4</v>
      </c>
      <c r="AC116" s="510">
        <f t="shared" ref="AC116" si="195">+D116+I116+X116</f>
        <v>0</v>
      </c>
      <c r="AD116" s="512">
        <v>0</v>
      </c>
      <c r="AE116" s="512">
        <f t="shared" si="189"/>
        <v>0</v>
      </c>
      <c r="AF116" s="512">
        <f t="shared" si="189"/>
        <v>0</v>
      </c>
      <c r="AG116" s="512">
        <f t="shared" si="189"/>
        <v>0</v>
      </c>
      <c r="AH116" s="513">
        <f t="shared" ref="AH116" si="196">+H116+M116+AB116</f>
        <v>1122985.3999999999</v>
      </c>
      <c r="AI116" s="538" t="s">
        <v>516</v>
      </c>
      <c r="AJ116" s="539" t="s">
        <v>474</v>
      </c>
      <c r="AK116" s="539" t="s">
        <v>419</v>
      </c>
      <c r="AL116" s="539" t="s">
        <v>437</v>
      </c>
      <c r="AM116" s="540" t="s">
        <v>583</v>
      </c>
    </row>
    <row r="117" spans="2:39" ht="13.5" customHeight="1" x14ac:dyDescent="0.25">
      <c r="B117" s="541"/>
      <c r="C117" s="542"/>
      <c r="D117" s="517"/>
      <c r="E117" s="829"/>
      <c r="F117" s="518"/>
      <c r="G117" s="829"/>
      <c r="H117" s="519"/>
      <c r="I117" s="517"/>
      <c r="J117" s="518"/>
      <c r="K117" s="518"/>
      <c r="L117" s="518"/>
      <c r="M117" s="519"/>
      <c r="N117" s="517"/>
      <c r="O117" s="518"/>
      <c r="P117" s="518"/>
      <c r="Q117" s="518"/>
      <c r="R117" s="519"/>
      <c r="S117" s="517"/>
      <c r="T117" s="518"/>
      <c r="U117" s="518"/>
      <c r="V117" s="518"/>
      <c r="W117" s="519"/>
      <c r="X117" s="517"/>
      <c r="Y117" s="518"/>
      <c r="Z117" s="518"/>
      <c r="AA117" s="518"/>
      <c r="AB117" s="519"/>
      <c r="AC117" s="517"/>
      <c r="AD117" s="518"/>
      <c r="AE117" s="518"/>
      <c r="AF117" s="518"/>
      <c r="AG117" s="518"/>
      <c r="AH117" s="519"/>
      <c r="AI117" s="538"/>
      <c r="AJ117" s="539"/>
      <c r="AK117" s="543"/>
      <c r="AL117" s="543"/>
      <c r="AM117" s="540"/>
    </row>
    <row r="118" spans="2:39" ht="13.5" customHeight="1" x14ac:dyDescent="0.25">
      <c r="B118" s="544"/>
      <c r="C118" s="545" t="s">
        <v>586</v>
      </c>
      <c r="D118" s="546">
        <f>SUM(D109+D81+D77+D73+D67+D62+D57+D48+D43+D33+D23+D21+D19+D15+D7)</f>
        <v>27371836.730000004</v>
      </c>
      <c r="E118" s="832">
        <f>SUM(E109+E81+E77+E73+E67+E62+E57+E48+E43+E33+E23+E21+E19+E15+E7)</f>
        <v>17168851</v>
      </c>
      <c r="F118" s="546">
        <f t="shared" ref="F118:AH118" si="197">SUM(F109+F81+F77+F73+F67+F62+F57+F48+F43+F33+F23+F21+F19+F15+F7)</f>
        <v>27371836.730000004</v>
      </c>
      <c r="G118" s="832">
        <f t="shared" ref="G118" si="198">SUM(G109+G81+G77+G73+G67+G62+G57+G48+G43+G33+G23+G21+G19+G15+G7)</f>
        <v>15469236</v>
      </c>
      <c r="H118" s="546">
        <f t="shared" si="197"/>
        <v>15684608</v>
      </c>
      <c r="I118" s="546">
        <f t="shared" si="197"/>
        <v>7948818.3300000001</v>
      </c>
      <c r="J118" s="546">
        <f t="shared" si="197"/>
        <v>6669512</v>
      </c>
      <c r="K118" s="546">
        <f t="shared" si="197"/>
        <v>7948818.3300000001</v>
      </c>
      <c r="L118" s="546">
        <f t="shared" ref="L118" si="199">SUM(L109+L81+L77+L73+L67+L62+L57+L48+L43+L33+L23+L21+L19+L15+L7)</f>
        <v>4034691</v>
      </c>
      <c r="M118" s="546">
        <f t="shared" si="197"/>
        <v>3505612</v>
      </c>
      <c r="N118" s="546">
        <f t="shared" si="197"/>
        <v>119897281.09999999</v>
      </c>
      <c r="O118" s="546">
        <f t="shared" si="197"/>
        <v>109029755.40000001</v>
      </c>
      <c r="P118" s="546">
        <f t="shared" si="197"/>
        <v>119897281.09999999</v>
      </c>
      <c r="Q118" s="546">
        <f t="shared" ref="Q118" si="200">SUM(Q109+Q81+Q77+Q73+Q67+Q62+Q57+Q48+Q43+Q33+Q23+Q21+Q19+Q15+Q7)</f>
        <v>103980733</v>
      </c>
      <c r="R118" s="546">
        <f t="shared" si="197"/>
        <v>86636392</v>
      </c>
      <c r="S118" s="546">
        <f t="shared" si="197"/>
        <v>147455064.22</v>
      </c>
      <c r="T118" s="546">
        <f t="shared" si="197"/>
        <v>155924682.24000001</v>
      </c>
      <c r="U118" s="546">
        <f t="shared" si="197"/>
        <v>147455064.22</v>
      </c>
      <c r="V118" s="546">
        <f t="shared" ref="V118" si="201">SUM(V109+V81+V77+V73+V67+V62+V57+V48+V43+V33+V23+V21+V19+V15+V7)</f>
        <v>146435883</v>
      </c>
      <c r="W118" s="546">
        <f t="shared" si="197"/>
        <v>144537662.59999999</v>
      </c>
      <c r="X118" s="546">
        <f t="shared" si="197"/>
        <v>267352345.31999999</v>
      </c>
      <c r="Y118" s="546">
        <f t="shared" si="197"/>
        <v>264954437.63999999</v>
      </c>
      <c r="Z118" s="546">
        <f t="shared" si="197"/>
        <v>267352345.31999999</v>
      </c>
      <c r="AA118" s="546">
        <f t="shared" ref="AA118" si="202">SUM(AA109+AA81+AA77+AA73+AA67+AA62+AA57+AA48+AA43+AA33+AA23+AA21+AA19+AA15+AA7)</f>
        <v>250416616</v>
      </c>
      <c r="AB118" s="546">
        <f t="shared" si="197"/>
        <v>231174054.59999999</v>
      </c>
      <c r="AC118" s="546">
        <f t="shared" si="197"/>
        <v>302673000.38</v>
      </c>
      <c r="AD118" s="546">
        <f t="shared" si="197"/>
        <v>305854571.38</v>
      </c>
      <c r="AE118" s="546">
        <f t="shared" si="197"/>
        <v>288792800.63999999</v>
      </c>
      <c r="AF118" s="546">
        <f t="shared" si="197"/>
        <v>302673000.38</v>
      </c>
      <c r="AG118" s="546">
        <f t="shared" ref="AG118" si="203">SUM(AG109+AG81+AG77+AG73+AG67+AG62+AG57+AG48+AG43+AG33+AG23+AG21+AG19+AG15+AG7)</f>
        <v>269920543</v>
      </c>
      <c r="AH118" s="546">
        <f t="shared" si="197"/>
        <v>250364274.60000002</v>
      </c>
      <c r="AI118" s="548"/>
      <c r="AJ118" s="545"/>
      <c r="AK118" s="549"/>
      <c r="AL118" s="549"/>
      <c r="AM118" s="550"/>
    </row>
    <row r="119" spans="2:39" ht="13.5" customHeight="1" x14ac:dyDescent="0.25">
      <c r="B119" s="541"/>
      <c r="C119" s="542"/>
      <c r="D119" s="517"/>
      <c r="E119" s="829"/>
      <c r="F119" s="518"/>
      <c r="G119" s="829"/>
      <c r="H119" s="519"/>
      <c r="I119" s="517"/>
      <c r="J119" s="518"/>
      <c r="K119" s="518"/>
      <c r="L119" s="518"/>
      <c r="M119" s="519"/>
      <c r="N119" s="517"/>
      <c r="O119" s="518"/>
      <c r="P119" s="518"/>
      <c r="Q119" s="518"/>
      <c r="R119" s="519"/>
      <c r="S119" s="517"/>
      <c r="T119" s="518"/>
      <c r="U119" s="518"/>
      <c r="V119" s="518"/>
      <c r="W119" s="519"/>
      <c r="X119" s="517"/>
      <c r="Y119" s="518"/>
      <c r="Z119" s="518"/>
      <c r="AA119" s="518"/>
      <c r="AB119" s="519"/>
      <c r="AC119" s="517"/>
      <c r="AD119" s="518"/>
      <c r="AE119" s="518"/>
      <c r="AF119" s="518"/>
      <c r="AG119" s="518"/>
      <c r="AH119" s="519"/>
      <c r="AI119" s="538"/>
      <c r="AJ119" s="539"/>
      <c r="AK119" s="543"/>
      <c r="AL119" s="543"/>
      <c r="AM119" s="540"/>
    </row>
    <row r="120" spans="2:39" ht="13.5" customHeight="1" x14ac:dyDescent="0.25">
      <c r="B120" s="537"/>
      <c r="C120" s="523" t="s">
        <v>587</v>
      </c>
      <c r="D120" s="501">
        <f>SUM(D121:D122)</f>
        <v>0</v>
      </c>
      <c r="E120" s="833">
        <f t="shared" ref="E120:AH120" si="204">SUM(E121:E122)</f>
        <v>0</v>
      </c>
      <c r="F120" s="502">
        <f t="shared" si="204"/>
        <v>0</v>
      </c>
      <c r="G120" s="833">
        <f t="shared" si="204"/>
        <v>0</v>
      </c>
      <c r="H120" s="503">
        <f t="shared" si="204"/>
        <v>0</v>
      </c>
      <c r="I120" s="501">
        <f t="shared" si="204"/>
        <v>0</v>
      </c>
      <c r="J120" s="502">
        <f t="shared" si="204"/>
        <v>0</v>
      </c>
      <c r="K120" s="502">
        <f t="shared" si="204"/>
        <v>0</v>
      </c>
      <c r="L120" s="502">
        <f t="shared" si="204"/>
        <v>0</v>
      </c>
      <c r="M120" s="503">
        <f t="shared" si="204"/>
        <v>0</v>
      </c>
      <c r="N120" s="501">
        <f t="shared" si="204"/>
        <v>0</v>
      </c>
      <c r="O120" s="502">
        <f t="shared" si="204"/>
        <v>0</v>
      </c>
      <c r="P120" s="502">
        <f t="shared" si="204"/>
        <v>0</v>
      </c>
      <c r="Q120" s="502">
        <f t="shared" si="204"/>
        <v>0</v>
      </c>
      <c r="R120" s="503">
        <f t="shared" si="204"/>
        <v>0</v>
      </c>
      <c r="S120" s="501">
        <f t="shared" si="204"/>
        <v>0</v>
      </c>
      <c r="T120" s="502">
        <f t="shared" si="204"/>
        <v>0</v>
      </c>
      <c r="U120" s="502">
        <f t="shared" si="204"/>
        <v>0</v>
      </c>
      <c r="V120" s="502">
        <f t="shared" si="204"/>
        <v>0</v>
      </c>
      <c r="W120" s="503">
        <f t="shared" si="204"/>
        <v>0</v>
      </c>
      <c r="X120" s="501">
        <f t="shared" si="204"/>
        <v>0</v>
      </c>
      <c r="Y120" s="502">
        <f t="shared" si="204"/>
        <v>0</v>
      </c>
      <c r="Z120" s="502">
        <f t="shared" si="204"/>
        <v>0</v>
      </c>
      <c r="AA120" s="502">
        <f t="shared" si="204"/>
        <v>0</v>
      </c>
      <c r="AB120" s="503">
        <f t="shared" si="204"/>
        <v>0</v>
      </c>
      <c r="AC120" s="501">
        <f t="shared" si="204"/>
        <v>13333000</v>
      </c>
      <c r="AD120" s="502">
        <f t="shared" si="204"/>
        <v>13333000</v>
      </c>
      <c r="AE120" s="502">
        <f t="shared" si="204"/>
        <v>8175875</v>
      </c>
      <c r="AF120" s="502">
        <f t="shared" si="204"/>
        <v>13333000</v>
      </c>
      <c r="AG120" s="502">
        <f t="shared" si="204"/>
        <v>13333000</v>
      </c>
      <c r="AH120" s="503">
        <f t="shared" si="204"/>
        <v>11151095</v>
      </c>
      <c r="AI120" s="551" t="s">
        <v>235</v>
      </c>
      <c r="AJ120" s="530"/>
      <c r="AK120" s="552" t="s">
        <v>235</v>
      </c>
      <c r="AL120" s="552" t="s">
        <v>420</v>
      </c>
      <c r="AM120" s="553" t="s">
        <v>235</v>
      </c>
    </row>
    <row r="121" spans="2:39" s="560" customFormat="1" ht="13.5" customHeight="1" x14ac:dyDescent="0.25">
      <c r="B121" s="537" t="s">
        <v>588</v>
      </c>
      <c r="C121" s="527" t="s">
        <v>589</v>
      </c>
      <c r="D121" s="554">
        <v>0</v>
      </c>
      <c r="E121" s="834">
        <v>0</v>
      </c>
      <c r="F121" s="555">
        <v>0</v>
      </c>
      <c r="G121" s="834">
        <v>0</v>
      </c>
      <c r="H121" s="556">
        <v>0</v>
      </c>
      <c r="I121" s="554">
        <v>0</v>
      </c>
      <c r="J121" s="555">
        <v>0</v>
      </c>
      <c r="K121" s="555">
        <v>0</v>
      </c>
      <c r="L121" s="555">
        <v>0</v>
      </c>
      <c r="M121" s="556">
        <v>0</v>
      </c>
      <c r="N121" s="554">
        <v>0</v>
      </c>
      <c r="O121" s="555">
        <v>0</v>
      </c>
      <c r="P121" s="555">
        <v>0</v>
      </c>
      <c r="Q121" s="555">
        <v>0</v>
      </c>
      <c r="R121" s="556">
        <v>0</v>
      </c>
      <c r="S121" s="554">
        <v>0</v>
      </c>
      <c r="T121" s="555">
        <v>0</v>
      </c>
      <c r="U121" s="555">
        <v>0</v>
      </c>
      <c r="V121" s="555">
        <v>0</v>
      </c>
      <c r="W121" s="556">
        <v>0</v>
      </c>
      <c r="X121" s="517">
        <v>0</v>
      </c>
      <c r="Y121" s="518">
        <v>0</v>
      </c>
      <c r="Z121" s="518">
        <v>0</v>
      </c>
      <c r="AA121" s="518">
        <v>0</v>
      </c>
      <c r="AB121" s="557">
        <v>0</v>
      </c>
      <c r="AC121" s="510">
        <f>13333000*0.725</f>
        <v>9666425</v>
      </c>
      <c r="AD121" s="518">
        <f>13333000*0.725</f>
        <v>9666425</v>
      </c>
      <c r="AE121" s="518">
        <v>5938422</v>
      </c>
      <c r="AF121" s="518">
        <f>13333000*0.725</f>
        <v>9666425</v>
      </c>
      <c r="AG121" s="518">
        <f>13333000*0.725</f>
        <v>9666425</v>
      </c>
      <c r="AH121" s="518">
        <f>11151095*0.6</f>
        <v>6690657</v>
      </c>
      <c r="AI121" s="558"/>
      <c r="AJ121" s="531"/>
      <c r="AK121" s="559"/>
      <c r="AL121" s="559"/>
      <c r="AM121" s="540"/>
    </row>
    <row r="122" spans="2:39" s="560" customFormat="1" ht="13.5" customHeight="1" x14ac:dyDescent="0.25">
      <c r="B122" s="723" t="s">
        <v>590</v>
      </c>
      <c r="C122" s="527" t="s">
        <v>591</v>
      </c>
      <c r="D122" s="554">
        <v>0</v>
      </c>
      <c r="E122" s="834">
        <v>0</v>
      </c>
      <c r="F122" s="555">
        <v>0</v>
      </c>
      <c r="G122" s="834">
        <v>0</v>
      </c>
      <c r="H122" s="556">
        <v>0</v>
      </c>
      <c r="I122" s="554">
        <v>0</v>
      </c>
      <c r="J122" s="555">
        <v>0</v>
      </c>
      <c r="K122" s="555">
        <v>0</v>
      </c>
      <c r="L122" s="555">
        <v>0</v>
      </c>
      <c r="M122" s="556">
        <v>0</v>
      </c>
      <c r="N122" s="554">
        <v>0</v>
      </c>
      <c r="O122" s="555">
        <v>0</v>
      </c>
      <c r="P122" s="555">
        <v>0</v>
      </c>
      <c r="Q122" s="555">
        <v>0</v>
      </c>
      <c r="R122" s="556">
        <v>0</v>
      </c>
      <c r="S122" s="554">
        <v>0</v>
      </c>
      <c r="T122" s="555">
        <v>0</v>
      </c>
      <c r="U122" s="555">
        <v>0</v>
      </c>
      <c r="V122" s="555">
        <v>0</v>
      </c>
      <c r="W122" s="556">
        <v>0</v>
      </c>
      <c r="X122" s="517">
        <v>0</v>
      </c>
      <c r="Y122" s="518">
        <v>0</v>
      </c>
      <c r="Z122" s="518">
        <v>0</v>
      </c>
      <c r="AA122" s="518">
        <v>0</v>
      </c>
      <c r="AB122" s="557">
        <v>0</v>
      </c>
      <c r="AC122" s="510">
        <f>13333000*0.275</f>
        <v>3666575.0000000005</v>
      </c>
      <c r="AD122" s="518">
        <f>13333000*0.275</f>
        <v>3666575.0000000005</v>
      </c>
      <c r="AE122" s="518">
        <v>2237453</v>
      </c>
      <c r="AF122" s="518">
        <f>13333000*0.275</f>
        <v>3666575.0000000005</v>
      </c>
      <c r="AG122" s="518">
        <f>13333000*0.275</f>
        <v>3666575.0000000005</v>
      </c>
      <c r="AH122" s="518">
        <f>11151095*0.4</f>
        <v>4460438</v>
      </c>
      <c r="AI122" s="558"/>
      <c r="AJ122" s="531"/>
      <c r="AK122" s="559"/>
      <c r="AL122" s="559"/>
      <c r="AM122" s="540"/>
    </row>
    <row r="123" spans="2:39" ht="13.5" customHeight="1" x14ac:dyDescent="0.25">
      <c r="B123" s="544"/>
      <c r="C123" s="545" t="s">
        <v>592</v>
      </c>
      <c r="D123" s="546">
        <f t="shared" ref="D123:AH123" si="205">+D118+D120</f>
        <v>27371836.730000004</v>
      </c>
      <c r="E123" s="835">
        <f t="shared" si="205"/>
        <v>17168851</v>
      </c>
      <c r="F123" s="547">
        <f t="shared" si="205"/>
        <v>27371836.730000004</v>
      </c>
      <c r="G123" s="835">
        <f t="shared" si="205"/>
        <v>15469236</v>
      </c>
      <c r="H123" s="550">
        <f t="shared" si="205"/>
        <v>15684608</v>
      </c>
      <c r="I123" s="546">
        <f t="shared" si="205"/>
        <v>7948818.3300000001</v>
      </c>
      <c r="J123" s="547">
        <f t="shared" si="205"/>
        <v>6669512</v>
      </c>
      <c r="K123" s="547">
        <f t="shared" si="205"/>
        <v>7948818.3300000001</v>
      </c>
      <c r="L123" s="547">
        <f t="shared" si="205"/>
        <v>4034691</v>
      </c>
      <c r="M123" s="550">
        <f t="shared" si="205"/>
        <v>3505612</v>
      </c>
      <c r="N123" s="546">
        <f t="shared" si="205"/>
        <v>119897281.09999999</v>
      </c>
      <c r="O123" s="547">
        <f t="shared" si="205"/>
        <v>109029755.40000001</v>
      </c>
      <c r="P123" s="547">
        <f t="shared" si="205"/>
        <v>119897281.09999999</v>
      </c>
      <c r="Q123" s="547">
        <f t="shared" si="205"/>
        <v>103980733</v>
      </c>
      <c r="R123" s="550">
        <f t="shared" si="205"/>
        <v>86636392</v>
      </c>
      <c r="S123" s="546">
        <f t="shared" si="205"/>
        <v>147455064.22</v>
      </c>
      <c r="T123" s="547">
        <f t="shared" si="205"/>
        <v>155924682.24000001</v>
      </c>
      <c r="U123" s="547">
        <f t="shared" si="205"/>
        <v>147455064.22</v>
      </c>
      <c r="V123" s="547">
        <f t="shared" si="205"/>
        <v>146435883</v>
      </c>
      <c r="W123" s="550">
        <f t="shared" si="205"/>
        <v>144537662.59999999</v>
      </c>
      <c r="X123" s="546">
        <f t="shared" si="205"/>
        <v>267352345.31999999</v>
      </c>
      <c r="Y123" s="547">
        <f t="shared" si="205"/>
        <v>264954437.63999999</v>
      </c>
      <c r="Z123" s="547">
        <f t="shared" si="205"/>
        <v>267352345.31999999</v>
      </c>
      <c r="AA123" s="547">
        <f t="shared" si="205"/>
        <v>250416616</v>
      </c>
      <c r="AB123" s="550">
        <f t="shared" si="205"/>
        <v>231174054.59999999</v>
      </c>
      <c r="AC123" s="546">
        <f t="shared" si="205"/>
        <v>316006000.38</v>
      </c>
      <c r="AD123" s="547">
        <f t="shared" si="205"/>
        <v>319187571.38</v>
      </c>
      <c r="AE123" s="547">
        <f t="shared" si="205"/>
        <v>296968675.63999999</v>
      </c>
      <c r="AF123" s="547">
        <f t="shared" si="205"/>
        <v>316006000.38</v>
      </c>
      <c r="AG123" s="547">
        <f t="shared" si="205"/>
        <v>283253543</v>
      </c>
      <c r="AH123" s="550">
        <f t="shared" si="205"/>
        <v>261515369.60000002</v>
      </c>
      <c r="AI123" s="548"/>
      <c r="AJ123" s="545"/>
      <c r="AK123" s="549"/>
      <c r="AL123" s="549"/>
      <c r="AM123" s="550"/>
    </row>
    <row r="124" spans="2:39" ht="13.5" customHeight="1" x14ac:dyDescent="0.25">
      <c r="B124" s="561"/>
      <c r="C124" s="562"/>
      <c r="D124" s="563"/>
      <c r="E124" s="836"/>
      <c r="F124" s="564"/>
      <c r="G124" s="836"/>
      <c r="H124" s="565"/>
      <c r="I124" s="563"/>
      <c r="J124" s="564"/>
      <c r="K124" s="566"/>
      <c r="L124" s="566"/>
      <c r="M124" s="565"/>
      <c r="N124" s="563"/>
      <c r="O124" s="566"/>
      <c r="P124" s="566"/>
      <c r="Q124" s="566"/>
      <c r="R124" s="565"/>
      <c r="S124" s="563"/>
      <c r="T124" s="566"/>
      <c r="U124" s="566"/>
      <c r="V124" s="566"/>
      <c r="W124" s="565"/>
      <c r="X124" s="563"/>
      <c r="Y124" s="564"/>
      <c r="Z124" s="564"/>
      <c r="AA124" s="566"/>
      <c r="AB124" s="565"/>
      <c r="AC124" s="563"/>
      <c r="AD124" s="564"/>
      <c r="AE124" s="564"/>
      <c r="AF124" s="564"/>
      <c r="AG124" s="566"/>
      <c r="AH124" s="567"/>
      <c r="AI124" s="514"/>
      <c r="AJ124" s="515"/>
      <c r="AK124" s="543"/>
      <c r="AL124" s="543"/>
      <c r="AM124" s="516"/>
    </row>
    <row r="125" spans="2:39" ht="13.5" customHeight="1" x14ac:dyDescent="0.25">
      <c r="B125" s="537" t="s">
        <v>593</v>
      </c>
      <c r="C125" s="523" t="s">
        <v>195</v>
      </c>
      <c r="D125" s="501">
        <v>1759354</v>
      </c>
      <c r="E125" s="833">
        <v>3609089</v>
      </c>
      <c r="F125" s="502">
        <v>1759354</v>
      </c>
      <c r="G125" s="833">
        <v>1759354</v>
      </c>
      <c r="H125" s="503">
        <v>1759354</v>
      </c>
      <c r="I125" s="501">
        <v>2456028</v>
      </c>
      <c r="J125" s="502">
        <v>2899118</v>
      </c>
      <c r="K125" s="502">
        <v>2456028</v>
      </c>
      <c r="L125" s="502">
        <v>2456028</v>
      </c>
      <c r="M125" s="503">
        <v>2456028</v>
      </c>
      <c r="N125" s="501">
        <v>9129143</v>
      </c>
      <c r="O125" s="502">
        <v>9038908</v>
      </c>
      <c r="P125" s="502">
        <v>9129143</v>
      </c>
      <c r="Q125" s="502">
        <v>9129143</v>
      </c>
      <c r="R125" s="503">
        <f>-52000+9129143</f>
        <v>9077143</v>
      </c>
      <c r="S125" s="501">
        <v>3969475</v>
      </c>
      <c r="T125" s="502">
        <v>0</v>
      </c>
      <c r="U125" s="502">
        <v>3969475</v>
      </c>
      <c r="V125" s="502">
        <v>3969475</v>
      </c>
      <c r="W125" s="503">
        <v>3969475</v>
      </c>
      <c r="X125" s="501">
        <f>+N125+S125</f>
        <v>13098618</v>
      </c>
      <c r="Y125" s="502">
        <f>+O125+T125</f>
        <v>9038908</v>
      </c>
      <c r="Z125" s="502">
        <f>+P125+U125</f>
        <v>13098618</v>
      </c>
      <c r="AA125" s="502">
        <f>+Q125+V125</f>
        <v>13098618</v>
      </c>
      <c r="AB125" s="503">
        <f t="shared" ref="AB125" si="206">+R125+W125</f>
        <v>13046618</v>
      </c>
      <c r="AC125" s="501">
        <f t="shared" ref="AC125" si="207">+D125+I125+X125</f>
        <v>17314000</v>
      </c>
      <c r="AD125" s="502">
        <v>17314000</v>
      </c>
      <c r="AE125" s="502">
        <f>+E125+J125+Y125</f>
        <v>15547115</v>
      </c>
      <c r="AF125" s="502">
        <f>+F125+K125+Z125</f>
        <v>17314000</v>
      </c>
      <c r="AG125" s="502">
        <f>+G125+L125+AA125</f>
        <v>17314000</v>
      </c>
      <c r="AH125" s="503">
        <f>+H125+M125+AB125</f>
        <v>17262000</v>
      </c>
      <c r="AI125" s="551" t="s">
        <v>594</v>
      </c>
      <c r="AJ125" s="530" t="s">
        <v>474</v>
      </c>
      <c r="AK125" s="525" t="s">
        <v>236</v>
      </c>
      <c r="AL125" s="525" t="s">
        <v>420</v>
      </c>
      <c r="AM125" s="553" t="s">
        <v>594</v>
      </c>
    </row>
    <row r="126" spans="2:39" ht="13.5" customHeight="1" x14ac:dyDescent="0.25">
      <c r="B126" s="534"/>
      <c r="C126" s="568"/>
      <c r="D126" s="563"/>
      <c r="E126" s="836"/>
      <c r="F126" s="564"/>
      <c r="G126" s="836"/>
      <c r="H126" s="565"/>
      <c r="I126" s="563"/>
      <c r="J126" s="564"/>
      <c r="K126" s="566"/>
      <c r="L126" s="566"/>
      <c r="M126" s="565"/>
      <c r="N126" s="563"/>
      <c r="O126" s="566"/>
      <c r="P126" s="566"/>
      <c r="Q126" s="566"/>
      <c r="R126" s="565"/>
      <c r="S126" s="563"/>
      <c r="T126" s="566"/>
      <c r="U126" s="566"/>
      <c r="V126" s="566"/>
      <c r="W126" s="565"/>
      <c r="X126" s="563"/>
      <c r="Y126" s="564"/>
      <c r="Z126" s="564"/>
      <c r="AA126" s="566"/>
      <c r="AB126" s="565"/>
      <c r="AC126" s="563"/>
      <c r="AD126" s="564"/>
      <c r="AE126" s="564"/>
      <c r="AF126" s="564"/>
      <c r="AG126" s="566"/>
      <c r="AH126" s="567"/>
      <c r="AI126" s="569"/>
      <c r="AJ126" s="570"/>
      <c r="AK126" s="570"/>
      <c r="AL126" s="570"/>
      <c r="AM126" s="571"/>
    </row>
    <row r="127" spans="2:39" ht="13.5" customHeight="1" thickBot="1" x14ac:dyDescent="0.3">
      <c r="B127" s="572"/>
      <c r="C127" s="573" t="s">
        <v>595</v>
      </c>
      <c r="D127" s="574">
        <f>+D125+D123</f>
        <v>29131190.730000004</v>
      </c>
      <c r="E127" s="837">
        <f t="shared" ref="E127:AH127" si="208">+E125+E123</f>
        <v>20777940</v>
      </c>
      <c r="F127" s="575">
        <f t="shared" si="208"/>
        <v>29131190.730000004</v>
      </c>
      <c r="G127" s="837">
        <f t="shared" si="208"/>
        <v>17228590</v>
      </c>
      <c r="H127" s="576">
        <f t="shared" si="208"/>
        <v>17443962</v>
      </c>
      <c r="I127" s="574">
        <f t="shared" si="208"/>
        <v>10404846.33</v>
      </c>
      <c r="J127" s="575">
        <f t="shared" si="208"/>
        <v>9568630</v>
      </c>
      <c r="K127" s="575">
        <f t="shared" si="208"/>
        <v>10404846.33</v>
      </c>
      <c r="L127" s="575">
        <f t="shared" si="208"/>
        <v>6490719</v>
      </c>
      <c r="M127" s="576">
        <f t="shared" si="208"/>
        <v>5961640</v>
      </c>
      <c r="N127" s="574">
        <f t="shared" si="208"/>
        <v>129026424.09999999</v>
      </c>
      <c r="O127" s="575">
        <f t="shared" si="208"/>
        <v>118068663.40000001</v>
      </c>
      <c r="P127" s="575">
        <f t="shared" si="208"/>
        <v>129026424.09999999</v>
      </c>
      <c r="Q127" s="575">
        <f t="shared" si="208"/>
        <v>113109876</v>
      </c>
      <c r="R127" s="576">
        <f t="shared" si="208"/>
        <v>95713535</v>
      </c>
      <c r="S127" s="574">
        <f t="shared" si="208"/>
        <v>151424539.22</v>
      </c>
      <c r="T127" s="575">
        <f t="shared" si="208"/>
        <v>155924682.24000001</v>
      </c>
      <c r="U127" s="575">
        <f t="shared" si="208"/>
        <v>151424539.22</v>
      </c>
      <c r="V127" s="575">
        <f t="shared" si="208"/>
        <v>150405358</v>
      </c>
      <c r="W127" s="576">
        <f t="shared" si="208"/>
        <v>148507137.59999999</v>
      </c>
      <c r="X127" s="574">
        <f t="shared" si="208"/>
        <v>280450963.31999999</v>
      </c>
      <c r="Y127" s="575">
        <f t="shared" si="208"/>
        <v>273993345.63999999</v>
      </c>
      <c r="Z127" s="575">
        <f t="shared" si="208"/>
        <v>280450963.31999999</v>
      </c>
      <c r="AA127" s="575">
        <f t="shared" si="208"/>
        <v>263515234</v>
      </c>
      <c r="AB127" s="576">
        <f t="shared" si="208"/>
        <v>244220672.59999999</v>
      </c>
      <c r="AC127" s="574">
        <f t="shared" si="208"/>
        <v>333320000.38</v>
      </c>
      <c r="AD127" s="575">
        <f t="shared" si="208"/>
        <v>336501571.38</v>
      </c>
      <c r="AE127" s="575">
        <f t="shared" si="208"/>
        <v>312515790.63999999</v>
      </c>
      <c r="AF127" s="575">
        <f t="shared" si="208"/>
        <v>333320000.38</v>
      </c>
      <c r="AG127" s="575">
        <f t="shared" si="208"/>
        <v>300567543</v>
      </c>
      <c r="AH127" s="576">
        <f t="shared" si="208"/>
        <v>278777369.60000002</v>
      </c>
      <c r="AI127" s="577"/>
      <c r="AJ127" s="573"/>
      <c r="AK127" s="573"/>
      <c r="AL127" s="573"/>
      <c r="AM127" s="576"/>
    </row>
    <row r="128" spans="2:39" x14ac:dyDescent="0.25">
      <c r="E128" s="838"/>
      <c r="G128" s="843"/>
      <c r="L128" s="578"/>
      <c r="AA128" s="740"/>
      <c r="AG128" s="740"/>
    </row>
    <row r="129" spans="2:39" ht="13.8" thickBot="1" x14ac:dyDescent="0.3">
      <c r="E129" s="838"/>
      <c r="G129" s="843"/>
      <c r="L129" s="578"/>
      <c r="AA129" s="740"/>
      <c r="AG129" s="740"/>
    </row>
    <row r="130" spans="2:39" ht="13.5" customHeight="1" x14ac:dyDescent="0.25">
      <c r="B130" s="579"/>
      <c r="C130" s="580" t="s">
        <v>596</v>
      </c>
      <c r="D130" s="581">
        <f>SUM(D131:D133)</f>
        <v>0</v>
      </c>
      <c r="E130" s="839">
        <f t="shared" ref="E130:AH130" si="209">SUM(E131:E133)</f>
        <v>0</v>
      </c>
      <c r="F130" s="582">
        <f t="shared" si="209"/>
        <v>0</v>
      </c>
      <c r="G130" s="844"/>
      <c r="H130" s="583">
        <f t="shared" si="209"/>
        <v>0</v>
      </c>
      <c r="I130" s="581">
        <f t="shared" si="209"/>
        <v>17600000</v>
      </c>
      <c r="J130" s="582">
        <f t="shared" si="209"/>
        <v>11279585</v>
      </c>
      <c r="K130" s="582">
        <f t="shared" si="209"/>
        <v>6100000</v>
      </c>
      <c r="L130" s="733"/>
      <c r="M130" s="583">
        <f t="shared" si="209"/>
        <v>6100000</v>
      </c>
      <c r="N130" s="581">
        <f t="shared" si="209"/>
        <v>0</v>
      </c>
      <c r="O130" s="582">
        <f t="shared" si="209"/>
        <v>0</v>
      </c>
      <c r="P130" s="582">
        <f t="shared" si="209"/>
        <v>0</v>
      </c>
      <c r="Q130" s="737"/>
      <c r="R130" s="583">
        <f t="shared" si="209"/>
        <v>0</v>
      </c>
      <c r="S130" s="581">
        <f t="shared" si="209"/>
        <v>0</v>
      </c>
      <c r="T130" s="582">
        <f t="shared" si="209"/>
        <v>0</v>
      </c>
      <c r="U130" s="582">
        <f t="shared" si="209"/>
        <v>0</v>
      </c>
      <c r="V130" s="737"/>
      <c r="W130" s="583">
        <f t="shared" si="209"/>
        <v>0</v>
      </c>
      <c r="X130" s="581">
        <f t="shared" si="209"/>
        <v>0</v>
      </c>
      <c r="Y130" s="582">
        <f t="shared" si="209"/>
        <v>0</v>
      </c>
      <c r="Z130" s="582">
        <f t="shared" si="209"/>
        <v>0</v>
      </c>
      <c r="AA130" s="737"/>
      <c r="AB130" s="583">
        <f t="shared" si="209"/>
        <v>0</v>
      </c>
      <c r="AC130" s="581">
        <f t="shared" si="209"/>
        <v>17600000</v>
      </c>
      <c r="AD130" s="582">
        <f t="shared" si="209"/>
        <v>17600000</v>
      </c>
      <c r="AE130" s="582">
        <f t="shared" si="209"/>
        <v>11279585</v>
      </c>
      <c r="AF130" s="582">
        <f t="shared" si="209"/>
        <v>6100000</v>
      </c>
      <c r="AG130" s="737"/>
      <c r="AH130" s="583">
        <f t="shared" si="209"/>
        <v>6100000</v>
      </c>
      <c r="AI130" s="584"/>
      <c r="AJ130" s="585"/>
      <c r="AK130" s="586"/>
      <c r="AL130" s="586"/>
      <c r="AM130" s="587"/>
    </row>
    <row r="131" spans="2:39" ht="13.5" customHeight="1" x14ac:dyDescent="0.25">
      <c r="B131" s="537" t="s">
        <v>308</v>
      </c>
      <c r="C131" s="527" t="s">
        <v>597</v>
      </c>
      <c r="D131" s="510"/>
      <c r="E131" s="829"/>
      <c r="F131" s="518"/>
      <c r="G131" s="845"/>
      <c r="H131" s="519"/>
      <c r="I131" s="510">
        <f>12200000+5400000</f>
        <v>17600000</v>
      </c>
      <c r="J131" s="512">
        <f>6645262+4634323</f>
        <v>11279585</v>
      </c>
      <c r="K131" s="512">
        <v>6100000</v>
      </c>
      <c r="L131" s="732"/>
      <c r="M131" s="513">
        <v>6100000</v>
      </c>
      <c r="N131" s="510"/>
      <c r="O131" s="518"/>
      <c r="P131" s="518"/>
      <c r="Q131" s="735"/>
      <c r="R131" s="519"/>
      <c r="S131" s="510"/>
      <c r="T131" s="518"/>
      <c r="U131" s="518"/>
      <c r="V131" s="735"/>
      <c r="W131" s="519"/>
      <c r="X131" s="510"/>
      <c r="Y131" s="512"/>
      <c r="Z131" s="512"/>
      <c r="AA131" s="735"/>
      <c r="AB131" s="513"/>
      <c r="AC131" s="510">
        <f t="shared" ref="AC131" si="210">+D131+I131+X131</f>
        <v>17600000</v>
      </c>
      <c r="AD131" s="512">
        <v>17600000</v>
      </c>
      <c r="AE131" s="512">
        <f>+E131+J131+Y131</f>
        <v>11279585</v>
      </c>
      <c r="AF131" s="512">
        <f>+F131+K131+Z131</f>
        <v>6100000</v>
      </c>
      <c r="AG131" s="735"/>
      <c r="AH131" s="513">
        <f t="shared" ref="AH131" si="211">+H131+M131+AB131</f>
        <v>6100000</v>
      </c>
      <c r="AI131" s="538"/>
      <c r="AJ131" s="539"/>
      <c r="AK131" s="539"/>
      <c r="AL131" s="539"/>
      <c r="AM131" s="540"/>
    </row>
    <row r="132" spans="2:39" ht="13.5" customHeight="1" x14ac:dyDescent="0.25">
      <c r="B132" s="537"/>
      <c r="C132" s="527"/>
      <c r="D132" s="510"/>
      <c r="E132" s="829"/>
      <c r="F132" s="518"/>
      <c r="G132" s="845"/>
      <c r="H132" s="519"/>
      <c r="I132" s="510"/>
      <c r="J132" s="518"/>
      <c r="K132" s="518"/>
      <c r="L132" s="557"/>
      <c r="M132" s="519"/>
      <c r="N132" s="510"/>
      <c r="O132" s="518"/>
      <c r="P132" s="518"/>
      <c r="Q132" s="735"/>
      <c r="R132" s="519"/>
      <c r="S132" s="510"/>
      <c r="T132" s="518"/>
      <c r="U132" s="518"/>
      <c r="V132" s="735"/>
      <c r="W132" s="519"/>
      <c r="X132" s="510"/>
      <c r="Y132" s="512"/>
      <c r="Z132" s="512"/>
      <c r="AA132" s="735"/>
      <c r="AB132" s="513"/>
      <c r="AC132" s="510"/>
      <c r="AD132" s="512"/>
      <c r="AE132" s="512"/>
      <c r="AF132" s="512"/>
      <c r="AG132" s="735"/>
      <c r="AH132" s="513"/>
      <c r="AI132" s="538"/>
      <c r="AJ132" s="539"/>
      <c r="AK132" s="539"/>
      <c r="AL132" s="539"/>
      <c r="AM132" s="540"/>
    </row>
    <row r="133" spans="2:39" ht="13.5" customHeight="1" thickBot="1" x14ac:dyDescent="0.3">
      <c r="B133" s="588"/>
      <c r="C133" s="589"/>
      <c r="D133" s="590"/>
      <c r="E133" s="840"/>
      <c r="F133" s="591"/>
      <c r="G133" s="846"/>
      <c r="H133" s="592"/>
      <c r="I133" s="590"/>
      <c r="J133" s="591"/>
      <c r="K133" s="591"/>
      <c r="L133" s="734"/>
      <c r="M133" s="592"/>
      <c r="N133" s="590"/>
      <c r="O133" s="591"/>
      <c r="P133" s="591"/>
      <c r="Q133" s="738"/>
      <c r="R133" s="592"/>
      <c r="S133" s="590"/>
      <c r="T133" s="591"/>
      <c r="U133" s="591"/>
      <c r="V133" s="738"/>
      <c r="W133" s="592"/>
      <c r="X133" s="590"/>
      <c r="Y133" s="593"/>
      <c r="Z133" s="593"/>
      <c r="AA133" s="738"/>
      <c r="AB133" s="594"/>
      <c r="AC133" s="590"/>
      <c r="AD133" s="593"/>
      <c r="AE133" s="593"/>
      <c r="AF133" s="593"/>
      <c r="AG133" s="738"/>
      <c r="AH133" s="594"/>
      <c r="AI133" s="595"/>
      <c r="AJ133" s="596"/>
      <c r="AK133" s="596"/>
      <c r="AL133" s="596"/>
      <c r="AM133" s="597"/>
    </row>
    <row r="135" spans="2:39" x14ac:dyDescent="0.25">
      <c r="B135" s="487" t="s">
        <v>598</v>
      </c>
      <c r="O135" s="598"/>
      <c r="T135" s="599"/>
    </row>
    <row r="136" spans="2:39" x14ac:dyDescent="0.25">
      <c r="B136" s="487" t="s">
        <v>599</v>
      </c>
      <c r="AF136" s="600"/>
      <c r="AG136" s="739"/>
    </row>
    <row r="137" spans="2:39" x14ac:dyDescent="0.25">
      <c r="B137" s="487" t="s">
        <v>600</v>
      </c>
      <c r="S137" s="600"/>
    </row>
    <row r="138" spans="2:39" x14ac:dyDescent="0.25">
      <c r="B138" s="487" t="s">
        <v>601</v>
      </c>
      <c r="AD138" s="600"/>
    </row>
    <row r="139" spans="2:39" x14ac:dyDescent="0.25">
      <c r="B139" s="487" t="s">
        <v>602</v>
      </c>
    </row>
    <row r="140" spans="2:39" x14ac:dyDescent="0.25">
      <c r="E140" s="600"/>
      <c r="F140" s="600"/>
      <c r="G140" s="739"/>
      <c r="H140" s="600"/>
      <c r="R140" s="600"/>
    </row>
    <row r="141" spans="2:39" x14ac:dyDescent="0.25">
      <c r="E141" s="600"/>
      <c r="F141" s="600"/>
      <c r="G141" s="739"/>
      <c r="H141" s="600"/>
    </row>
    <row r="142" spans="2:39" x14ac:dyDescent="0.25">
      <c r="E142" s="600"/>
      <c r="F142" s="600"/>
      <c r="G142" s="739"/>
      <c r="H142" s="600"/>
    </row>
    <row r="143" spans="2:39" x14ac:dyDescent="0.25">
      <c r="E143" s="600"/>
      <c r="F143" s="600"/>
      <c r="G143" s="739"/>
      <c r="H143" s="600"/>
    </row>
    <row r="144" spans="2:39" x14ac:dyDescent="0.25">
      <c r="E144" s="600"/>
      <c r="F144" s="600"/>
      <c r="G144" s="739"/>
      <c r="H144" s="600"/>
    </row>
    <row r="145" spans="5:8" x14ac:dyDescent="0.25">
      <c r="E145" s="600"/>
      <c r="F145" s="600"/>
      <c r="G145" s="739"/>
      <c r="H145" s="600"/>
    </row>
  </sheetData>
  <mergeCells count="8">
    <mergeCell ref="AC5:AH5"/>
    <mergeCell ref="AI5:AM5"/>
    <mergeCell ref="D4:S4"/>
    <mergeCell ref="D5:H5"/>
    <mergeCell ref="I5:M5"/>
    <mergeCell ref="N5:R5"/>
    <mergeCell ref="S5:W5"/>
    <mergeCell ref="X5:AB5"/>
  </mergeCells>
  <pageMargins left="0.7" right="0.7" top="0.75" bottom="0.75" header="0.3" footer="0.3"/>
  <pageSetup paperSize="17"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29"/>
  <sheetViews>
    <sheetView topLeftCell="C19" zoomScaleNormal="100" workbookViewId="0">
      <pane xSplit="1" topLeftCell="F1" activePane="topRight" state="frozen"/>
      <selection activeCell="C6" sqref="C6"/>
      <selection pane="topRight" activeCell="F25" sqref="F25:F33"/>
    </sheetView>
  </sheetViews>
  <sheetFormatPr defaultColWidth="8.77734375" defaultRowHeight="13.2" x14ac:dyDescent="0.25"/>
  <cols>
    <col min="1" max="1" width="8.77734375" style="609" hidden="1" customWidth="1"/>
    <col min="2" max="2" width="24.77734375" style="655" hidden="1" customWidth="1"/>
    <col min="3" max="3" width="55.44140625" style="609" customWidth="1"/>
    <col min="4" max="4" width="18.88671875" style="706" customWidth="1" collapsed="1"/>
    <col min="5" max="5" width="18.88671875" style="706" customWidth="1"/>
    <col min="6" max="6" width="18.88671875" style="707" customWidth="1"/>
    <col min="7" max="7" width="19.109375" style="707" customWidth="1"/>
    <col min="8" max="8" width="13.44140625" style="708" customWidth="1"/>
    <col min="9" max="9" width="13.6640625" style="794" customWidth="1"/>
    <col min="10" max="10" width="13.6640625" style="707" customWidth="1"/>
    <col min="11" max="11" width="12" style="707" customWidth="1"/>
    <col min="12" max="12" width="12.109375" style="707" customWidth="1"/>
    <col min="13" max="13" width="13.44140625" style="708" customWidth="1"/>
    <col min="14" max="16" width="15.77734375" style="707" customWidth="1"/>
    <col min="17" max="17" width="16.88671875" style="707" customWidth="1"/>
    <col min="18" max="18" width="13.44140625" style="708" customWidth="1"/>
    <col min="19" max="19" width="12.109375" style="709" customWidth="1"/>
    <col min="20" max="20" width="10.21875" style="709" customWidth="1"/>
    <col min="21" max="21" width="12.109375" style="709" customWidth="1"/>
    <col min="22" max="22" width="10.21875" style="709" customWidth="1"/>
    <col min="23" max="23" width="12.109375" style="706" customWidth="1" collapsed="1"/>
    <col min="24" max="25" width="10.21875" style="707" customWidth="1"/>
    <col min="26" max="26" width="12.109375" style="707" customWidth="1"/>
    <col min="27" max="28" width="10.21875" style="707" customWidth="1"/>
    <col min="29" max="29" width="12.109375" style="707" customWidth="1"/>
    <col min="30" max="31" width="10.21875" style="707" customWidth="1"/>
    <col min="32" max="32" width="12.109375" style="707" customWidth="1"/>
    <col min="33" max="34" width="10.21875" style="707" customWidth="1"/>
    <col min="35" max="35" width="12.109375" style="707" customWidth="1"/>
    <col min="36" max="37" width="10.21875" style="707" customWidth="1"/>
    <col min="38" max="38" width="20" style="609" customWidth="1"/>
    <col min="39" max="39" width="18.33203125" style="609" bestFit="1" customWidth="1"/>
    <col min="40" max="40" width="11.44140625" style="609" bestFit="1" customWidth="1"/>
    <col min="41" max="41" width="10.44140625" style="609" bestFit="1" customWidth="1"/>
    <col min="42" max="42" width="40.88671875" style="609" bestFit="1" customWidth="1"/>
    <col min="43" max="16384" width="8.77734375" style="609"/>
  </cols>
  <sheetData>
    <row r="1" spans="1:42" ht="20.100000000000001" hidden="1" customHeight="1" x14ac:dyDescent="0.3">
      <c r="A1" s="601"/>
      <c r="B1" s="485" t="s">
        <v>394</v>
      </c>
      <c r="C1" s="602"/>
      <c r="D1" s="603"/>
      <c r="E1" s="604"/>
      <c r="F1" s="605"/>
      <c r="G1" s="605"/>
      <c r="H1" s="606"/>
      <c r="I1" s="781"/>
      <c r="J1" s="605"/>
      <c r="K1" s="605"/>
      <c r="L1" s="605"/>
      <c r="M1" s="606"/>
      <c r="N1" s="605"/>
      <c r="O1" s="605"/>
      <c r="P1" s="605"/>
      <c r="Q1" s="605"/>
      <c r="R1" s="606"/>
      <c r="S1" s="607"/>
      <c r="T1" s="607"/>
      <c r="U1" s="607"/>
      <c r="V1" s="607"/>
      <c r="W1" s="604"/>
      <c r="X1" s="605"/>
      <c r="Y1" s="605"/>
      <c r="Z1" s="605"/>
      <c r="AA1" s="605"/>
      <c r="AB1" s="605"/>
      <c r="AC1" s="605"/>
      <c r="AD1" s="605"/>
      <c r="AE1" s="605"/>
      <c r="AF1" s="605"/>
      <c r="AG1" s="605"/>
      <c r="AH1" s="605"/>
      <c r="AI1" s="605"/>
      <c r="AJ1" s="605"/>
      <c r="AK1" s="605"/>
      <c r="AL1" s="608"/>
      <c r="AM1" s="608"/>
      <c r="AN1" s="608"/>
      <c r="AO1" s="608"/>
      <c r="AP1" s="608"/>
    </row>
    <row r="2" spans="1:42" ht="20.100000000000001" hidden="1" customHeight="1" x14ac:dyDescent="0.3">
      <c r="A2" s="601"/>
      <c r="B2" s="485" t="s">
        <v>395</v>
      </c>
      <c r="C2" s="610"/>
      <c r="D2" s="603"/>
      <c r="E2" s="604"/>
      <c r="F2" s="605"/>
      <c r="G2" s="605"/>
      <c r="H2" s="606"/>
      <c r="I2" s="781"/>
      <c r="J2" s="605"/>
      <c r="K2" s="605"/>
      <c r="L2" s="605"/>
      <c r="M2" s="606"/>
      <c r="N2" s="605"/>
      <c r="O2" s="605"/>
      <c r="P2" s="605"/>
      <c r="Q2" s="605"/>
      <c r="R2" s="606"/>
      <c r="S2" s="607"/>
      <c r="T2" s="607"/>
      <c r="U2" s="607"/>
      <c r="V2" s="607"/>
      <c r="W2" s="604"/>
      <c r="X2" s="605"/>
      <c r="Y2" s="605"/>
      <c r="Z2" s="605"/>
      <c r="AA2" s="605"/>
      <c r="AB2" s="605"/>
      <c r="AC2" s="605"/>
      <c r="AD2" s="605"/>
      <c r="AE2" s="605"/>
      <c r="AF2" s="605"/>
      <c r="AG2" s="605"/>
      <c r="AH2" s="605"/>
      <c r="AI2" s="605"/>
      <c r="AJ2" s="605"/>
      <c r="AK2" s="605"/>
      <c r="AL2" s="608"/>
      <c r="AM2" s="608"/>
      <c r="AN2" s="608"/>
      <c r="AO2" s="608"/>
      <c r="AP2" s="608"/>
    </row>
    <row r="3" spans="1:42" ht="20.100000000000001" hidden="1" customHeight="1" thickBot="1" x14ac:dyDescent="0.35">
      <c r="A3" s="611"/>
      <c r="B3" s="485"/>
      <c r="C3" s="610"/>
      <c r="D3" s="612"/>
      <c r="E3" s="612"/>
      <c r="F3" s="613"/>
      <c r="G3" s="613"/>
      <c r="H3" s="614"/>
      <c r="I3" s="782"/>
      <c r="J3" s="613"/>
      <c r="K3" s="613"/>
      <c r="L3" s="613"/>
      <c r="M3" s="614"/>
      <c r="N3" s="613"/>
      <c r="O3" s="613"/>
      <c r="P3" s="613"/>
      <c r="Q3" s="613"/>
      <c r="R3" s="614"/>
      <c r="S3" s="615"/>
      <c r="T3" s="615"/>
      <c r="U3" s="615"/>
      <c r="V3" s="615"/>
      <c r="W3" s="612"/>
      <c r="X3" s="613"/>
      <c r="Y3" s="613"/>
      <c r="Z3" s="613"/>
      <c r="AA3" s="613"/>
      <c r="AB3" s="613"/>
      <c r="AC3" s="613"/>
      <c r="AD3" s="613"/>
      <c r="AE3" s="613"/>
      <c r="AF3" s="613"/>
      <c r="AG3" s="613"/>
      <c r="AH3" s="613"/>
      <c r="AI3" s="613"/>
      <c r="AJ3" s="613"/>
      <c r="AK3" s="613"/>
      <c r="AL3" s="602"/>
      <c r="AM3" s="602"/>
      <c r="AN3" s="602"/>
      <c r="AO3" s="602"/>
      <c r="AP3" s="602"/>
    </row>
    <row r="4" spans="1:42" ht="20.100000000000001" hidden="1" customHeight="1" thickBot="1" x14ac:dyDescent="0.35">
      <c r="A4" s="611"/>
      <c r="B4" s="616"/>
      <c r="C4" s="610"/>
      <c r="D4" s="893"/>
      <c r="E4" s="894"/>
      <c r="F4" s="894"/>
      <c r="G4" s="894"/>
      <c r="H4" s="894"/>
      <c r="I4" s="894"/>
      <c r="J4" s="894"/>
      <c r="K4" s="894"/>
      <c r="L4" s="894"/>
      <c r="M4" s="617"/>
      <c r="N4" s="618"/>
      <c r="O4" s="618"/>
      <c r="P4" s="618"/>
      <c r="Q4" s="618"/>
      <c r="R4" s="617"/>
      <c r="S4" s="619"/>
      <c r="T4" s="620"/>
      <c r="U4" s="619"/>
      <c r="V4" s="620"/>
      <c r="W4" s="895" t="s">
        <v>603</v>
      </c>
      <c r="X4" s="896"/>
      <c r="Y4" s="896"/>
      <c r="Z4" s="896"/>
      <c r="AA4" s="896"/>
      <c r="AB4" s="896"/>
      <c r="AC4" s="896"/>
      <c r="AD4" s="896"/>
      <c r="AE4" s="897"/>
      <c r="AF4" s="898" t="s">
        <v>604</v>
      </c>
      <c r="AG4" s="899"/>
      <c r="AH4" s="899"/>
      <c r="AI4" s="899"/>
      <c r="AJ4" s="899"/>
      <c r="AK4" s="900"/>
      <c r="AL4" s="602"/>
      <c r="AM4" s="602"/>
      <c r="AN4" s="602"/>
      <c r="AO4" s="602"/>
      <c r="AP4" s="602"/>
    </row>
    <row r="5" spans="1:42" ht="20.100000000000001" hidden="1" customHeight="1" thickBot="1" x14ac:dyDescent="0.35">
      <c r="A5" s="611"/>
      <c r="B5" s="901" t="s">
        <v>605</v>
      </c>
      <c r="C5" s="901"/>
      <c r="D5" s="902" t="s">
        <v>606</v>
      </c>
      <c r="E5" s="903"/>
      <c r="F5" s="903"/>
      <c r="G5" s="903"/>
      <c r="H5" s="904"/>
      <c r="I5" s="902" t="s">
        <v>607</v>
      </c>
      <c r="J5" s="903"/>
      <c r="K5" s="903"/>
      <c r="L5" s="903"/>
      <c r="M5" s="904"/>
      <c r="N5" s="902" t="s">
        <v>608</v>
      </c>
      <c r="O5" s="903"/>
      <c r="P5" s="903"/>
      <c r="Q5" s="903"/>
      <c r="R5" s="904"/>
      <c r="S5" s="905" t="s">
        <v>609</v>
      </c>
      <c r="T5" s="906"/>
      <c r="U5" s="905" t="s">
        <v>212</v>
      </c>
      <c r="V5" s="906"/>
      <c r="W5" s="907" t="s">
        <v>610</v>
      </c>
      <c r="X5" s="908"/>
      <c r="Y5" s="908"/>
      <c r="Z5" s="909" t="s">
        <v>611</v>
      </c>
      <c r="AA5" s="908"/>
      <c r="AB5" s="908"/>
      <c r="AC5" s="910" t="s">
        <v>612</v>
      </c>
      <c r="AD5" s="911"/>
      <c r="AE5" s="912"/>
      <c r="AF5" s="907" t="s">
        <v>613</v>
      </c>
      <c r="AG5" s="908"/>
      <c r="AH5" s="913"/>
      <c r="AI5" s="910" t="s">
        <v>614</v>
      </c>
      <c r="AJ5" s="911"/>
      <c r="AK5" s="912"/>
      <c r="AL5" s="891" t="s">
        <v>615</v>
      </c>
      <c r="AM5" s="891"/>
      <c r="AN5" s="891"/>
      <c r="AO5" s="891"/>
      <c r="AP5" s="892"/>
    </row>
    <row r="6" spans="1:42" s="633" customFormat="1" ht="65.25" customHeight="1" thickBot="1" x14ac:dyDescent="0.4">
      <c r="A6" s="621"/>
      <c r="B6" s="622" t="s">
        <v>402</v>
      </c>
      <c r="C6" s="623" t="s">
        <v>403</v>
      </c>
      <c r="D6" s="624" t="s">
        <v>616</v>
      </c>
      <c r="E6" s="625" t="s">
        <v>617</v>
      </c>
      <c r="F6" s="626" t="s">
        <v>618</v>
      </c>
      <c r="G6" s="626" t="s">
        <v>619</v>
      </c>
      <c r="H6" s="627" t="s">
        <v>620</v>
      </c>
      <c r="I6" s="783" t="s">
        <v>616</v>
      </c>
      <c r="J6" s="825" t="s">
        <v>617</v>
      </c>
      <c r="K6" s="626" t="s">
        <v>618</v>
      </c>
      <c r="L6" s="626" t="s">
        <v>619</v>
      </c>
      <c r="M6" s="627" t="s">
        <v>620</v>
      </c>
      <c r="N6" s="624" t="s">
        <v>616</v>
      </c>
      <c r="O6" s="625" t="s">
        <v>617</v>
      </c>
      <c r="P6" s="626" t="s">
        <v>618</v>
      </c>
      <c r="Q6" s="626" t="s">
        <v>619</v>
      </c>
      <c r="R6" s="627" t="s">
        <v>620</v>
      </c>
      <c r="S6" s="624" t="s">
        <v>617</v>
      </c>
      <c r="T6" s="628">
        <v>2017</v>
      </c>
      <c r="U6" s="629" t="s">
        <v>621</v>
      </c>
      <c r="V6" s="628">
        <v>2017</v>
      </c>
      <c r="W6" s="624" t="s">
        <v>617</v>
      </c>
      <c r="X6" s="625">
        <v>2016</v>
      </c>
      <c r="Y6" s="625">
        <v>2017</v>
      </c>
      <c r="Z6" s="625" t="s">
        <v>622</v>
      </c>
      <c r="AA6" s="625">
        <v>2016</v>
      </c>
      <c r="AB6" s="625">
        <v>2017</v>
      </c>
      <c r="AC6" s="625" t="s">
        <v>622</v>
      </c>
      <c r="AD6" s="625">
        <v>2016</v>
      </c>
      <c r="AE6" s="630">
        <v>2017</v>
      </c>
      <c r="AF6" s="624" t="s">
        <v>622</v>
      </c>
      <c r="AG6" s="625">
        <v>2016</v>
      </c>
      <c r="AH6" s="625">
        <v>2017</v>
      </c>
      <c r="AI6" s="625" t="s">
        <v>622</v>
      </c>
      <c r="AJ6" s="625">
        <v>2016</v>
      </c>
      <c r="AK6" s="630">
        <v>2017</v>
      </c>
      <c r="AL6" s="631" t="s">
        <v>409</v>
      </c>
      <c r="AM6" s="632" t="s">
        <v>410</v>
      </c>
      <c r="AN6" s="632" t="s">
        <v>411</v>
      </c>
      <c r="AO6" s="632" t="s">
        <v>412</v>
      </c>
      <c r="AP6" s="632" t="s">
        <v>413</v>
      </c>
    </row>
    <row r="7" spans="1:42" ht="12.75" customHeight="1" thickTop="1" x14ac:dyDescent="0.3">
      <c r="A7" s="602"/>
      <c r="B7" s="522" t="s">
        <v>414</v>
      </c>
      <c r="C7" s="523" t="s">
        <v>415</v>
      </c>
      <c r="D7" s="634">
        <f>SUM(D8:D14)</f>
        <v>87083106.240269795</v>
      </c>
      <c r="E7" s="634">
        <f t="shared" ref="E7:G7" si="0">SUM(E8:E14)</f>
        <v>94480563.827421829</v>
      </c>
      <c r="F7" s="634">
        <f t="shared" si="0"/>
        <v>63819408.568213239</v>
      </c>
      <c r="G7" s="634">
        <f t="shared" si="0"/>
        <v>112360744.95196119</v>
      </c>
      <c r="H7" s="636">
        <f t="shared" ref="H7:H38" si="1">+G7/$G$123</f>
        <v>8.0255229086219765E-2</v>
      </c>
      <c r="I7" s="784">
        <f t="shared" ref="I7" si="2">SUM(I8:I14)</f>
        <v>21924.899783177749</v>
      </c>
      <c r="J7" s="634">
        <f t="shared" ref="J7" si="3">SUM(J8:J14)</f>
        <v>28347.470518119269</v>
      </c>
      <c r="K7" s="634">
        <f t="shared" ref="K7" si="4">SUM(K8:K14)</f>
        <v>18022.115984143755</v>
      </c>
      <c r="L7" s="634">
        <f t="shared" ref="L7" si="5">SUM(L8:L14)</f>
        <v>43934.923659612126</v>
      </c>
      <c r="M7" s="636">
        <f t="shared" ref="M7:M38" si="6">+L7/$L$123</f>
        <v>0.15710708677515464</v>
      </c>
      <c r="N7" s="637">
        <v>0</v>
      </c>
      <c r="O7" s="638">
        <v>0</v>
      </c>
      <c r="P7" s="638">
        <v>0</v>
      </c>
      <c r="Q7" s="638">
        <v>0</v>
      </c>
      <c r="R7" s="639">
        <v>0</v>
      </c>
      <c r="S7" s="640">
        <f>AVERAGE(S8:S13)</f>
        <v>0.53875927454812234</v>
      </c>
      <c r="T7" s="780"/>
      <c r="U7" s="780"/>
      <c r="V7" s="780"/>
      <c r="W7" s="780"/>
      <c r="X7" s="780"/>
      <c r="Y7" s="780"/>
      <c r="Z7" s="780"/>
      <c r="AA7" s="780"/>
      <c r="AB7" s="780"/>
      <c r="AC7" s="780"/>
      <c r="AD7" s="780"/>
      <c r="AE7" s="780"/>
      <c r="AF7" s="780"/>
      <c r="AG7" s="780"/>
      <c r="AH7" s="780"/>
      <c r="AI7" s="780"/>
      <c r="AJ7" s="780"/>
      <c r="AK7" s="780"/>
      <c r="AL7" s="524" t="s">
        <v>416</v>
      </c>
      <c r="AM7" s="525" t="s">
        <v>243</v>
      </c>
      <c r="AN7" s="502"/>
      <c r="AO7" s="502"/>
      <c r="AP7" s="525" t="s">
        <v>417</v>
      </c>
    </row>
    <row r="8" spans="1:42" ht="12.75" customHeight="1" x14ac:dyDescent="0.25">
      <c r="A8" s="602"/>
      <c r="B8" s="508" t="s">
        <v>418</v>
      </c>
      <c r="C8" s="509" t="s">
        <v>1</v>
      </c>
      <c r="D8" s="642">
        <v>5083802.5999999996</v>
      </c>
      <c r="E8" s="643">
        <v>18729407.82</v>
      </c>
      <c r="F8" s="643">
        <v>8122257</v>
      </c>
      <c r="G8" s="643">
        <v>66786000</v>
      </c>
      <c r="H8" s="644">
        <f t="shared" si="1"/>
        <v>4.7702831910235735E-2</v>
      </c>
      <c r="I8" s="785">
        <v>2427.7019999999998</v>
      </c>
      <c r="J8" s="643">
        <v>9008.4089999999906</v>
      </c>
      <c r="K8" s="643">
        <v>3266</v>
      </c>
      <c r="L8" s="643">
        <v>29200</v>
      </c>
      <c r="M8" s="644">
        <f t="shared" si="6"/>
        <v>0.1044164084448307</v>
      </c>
      <c r="N8" s="645">
        <v>0</v>
      </c>
      <c r="O8" s="646">
        <v>0</v>
      </c>
      <c r="P8" s="646">
        <v>0</v>
      </c>
      <c r="Q8" s="646">
        <v>0</v>
      </c>
      <c r="R8" s="647">
        <v>0</v>
      </c>
      <c r="S8" s="648">
        <v>0.23852992839846299</v>
      </c>
      <c r="T8" s="649">
        <v>0.831401846821752</v>
      </c>
      <c r="U8" s="648">
        <v>0.48703919483955999</v>
      </c>
      <c r="V8" s="649">
        <v>0.83503969998730099</v>
      </c>
      <c r="W8" s="645">
        <v>0.61988894582518617</v>
      </c>
      <c r="X8" s="646">
        <v>0</v>
      </c>
      <c r="Y8" s="646">
        <v>0.97864522693742106</v>
      </c>
      <c r="Z8" s="646">
        <v>0.61988894582518617</v>
      </c>
      <c r="AA8" s="646">
        <v>0</v>
      </c>
      <c r="AB8" s="646">
        <v>0.97864522693742106</v>
      </c>
      <c r="AC8" s="646">
        <v>0</v>
      </c>
      <c r="AD8" s="646">
        <v>0</v>
      </c>
      <c r="AE8" s="647">
        <v>0</v>
      </c>
      <c r="AF8" s="645">
        <v>2.9999999999999938</v>
      </c>
      <c r="AG8" s="646">
        <v>0</v>
      </c>
      <c r="AH8" s="646">
        <v>1.19443144299615</v>
      </c>
      <c r="AI8" s="646">
        <v>0</v>
      </c>
      <c r="AJ8" s="646">
        <v>0</v>
      </c>
      <c r="AK8" s="647">
        <v>0</v>
      </c>
      <c r="AL8" s="514" t="s">
        <v>416</v>
      </c>
      <c r="AM8" s="515" t="s">
        <v>243</v>
      </c>
      <c r="AN8" s="515" t="s">
        <v>419</v>
      </c>
      <c r="AO8" s="515" t="s">
        <v>420</v>
      </c>
      <c r="AP8" s="515" t="s">
        <v>421</v>
      </c>
    </row>
    <row r="9" spans="1:42" ht="12.75" customHeight="1" x14ac:dyDescent="0.25">
      <c r="A9" s="602"/>
      <c r="B9" s="508" t="s">
        <v>422</v>
      </c>
      <c r="C9" s="509" t="s">
        <v>3</v>
      </c>
      <c r="D9" s="642">
        <v>45052108.722600006</v>
      </c>
      <c r="E9" s="643">
        <v>50790685.050833203</v>
      </c>
      <c r="F9" s="643">
        <v>25377951.926845998</v>
      </c>
      <c r="G9" s="643">
        <v>19851597.678371102</v>
      </c>
      <c r="H9" s="644">
        <f t="shared" si="1"/>
        <v>1.4179280495926731E-2</v>
      </c>
      <c r="I9" s="785">
        <v>10693.130970000004</v>
      </c>
      <c r="J9" s="643">
        <v>12482.261490582699</v>
      </c>
      <c r="K9" s="643">
        <v>6933.2583109282368</v>
      </c>
      <c r="L9" s="643">
        <v>8725.5422750057696</v>
      </c>
      <c r="M9" s="644">
        <f t="shared" si="6"/>
        <v>3.1201705003069853E-2</v>
      </c>
      <c r="N9" s="645">
        <v>0</v>
      </c>
      <c r="O9" s="646">
        <v>0</v>
      </c>
      <c r="P9" s="646">
        <v>0</v>
      </c>
      <c r="Q9" s="646">
        <v>0</v>
      </c>
      <c r="R9" s="647">
        <v>0</v>
      </c>
      <c r="S9" s="648">
        <v>0.84577447713611698</v>
      </c>
      <c r="T9" s="649">
        <v>1.2650091240644099</v>
      </c>
      <c r="U9" s="648">
        <v>1.42155518598109</v>
      </c>
      <c r="V9" s="649">
        <v>1.8721974999186399</v>
      </c>
      <c r="W9" s="645">
        <v>0.60715854811369618</v>
      </c>
      <c r="X9" s="646">
        <v>0</v>
      </c>
      <c r="Y9" s="646">
        <v>0.60611287977125161</v>
      </c>
      <c r="Z9" s="646">
        <v>0.60715854811369618</v>
      </c>
      <c r="AA9" s="646">
        <v>0</v>
      </c>
      <c r="AB9" s="646">
        <v>0.60611287977125161</v>
      </c>
      <c r="AC9" s="646">
        <v>0</v>
      </c>
      <c r="AD9" s="646">
        <v>0</v>
      </c>
      <c r="AE9" s="647">
        <v>0</v>
      </c>
      <c r="AF9" s="645">
        <v>6.8125328657816846</v>
      </c>
      <c r="AG9" s="646">
        <v>0</v>
      </c>
      <c r="AH9" s="646">
        <v>7.4495816015427314</v>
      </c>
      <c r="AI9" s="646">
        <v>0</v>
      </c>
      <c r="AJ9" s="646">
        <v>0</v>
      </c>
      <c r="AK9" s="647">
        <v>0</v>
      </c>
      <c r="AL9" s="514" t="s">
        <v>416</v>
      </c>
      <c r="AM9" s="515" t="s">
        <v>243</v>
      </c>
      <c r="AN9" s="515" t="s">
        <v>419</v>
      </c>
      <c r="AO9" s="515" t="s">
        <v>423</v>
      </c>
      <c r="AP9" s="515" t="s">
        <v>424</v>
      </c>
    </row>
    <row r="10" spans="1:42" ht="12.75" customHeight="1" x14ac:dyDescent="0.25">
      <c r="A10" s="602"/>
      <c r="B10" s="508" t="s">
        <v>425</v>
      </c>
      <c r="C10" s="509" t="s">
        <v>2</v>
      </c>
      <c r="D10" s="642">
        <v>30982641.863869179</v>
      </c>
      <c r="E10" s="643">
        <v>18598492.761732999</v>
      </c>
      <c r="F10" s="643">
        <v>24780082</v>
      </c>
      <c r="G10" s="643">
        <v>16918470.9476333</v>
      </c>
      <c r="H10" s="644">
        <f t="shared" si="1"/>
        <v>1.2084253822554998E-2</v>
      </c>
      <c r="I10" s="785">
        <v>3191.5453308684014</v>
      </c>
      <c r="J10" s="643">
        <v>1189.78781267658</v>
      </c>
      <c r="K10" s="643">
        <v>2329.00132504251</v>
      </c>
      <c r="L10" s="643">
        <v>1643.89200903918</v>
      </c>
      <c r="M10" s="644">
        <f t="shared" si="6"/>
        <v>5.8784006662680934E-3</v>
      </c>
      <c r="N10" s="645">
        <v>0</v>
      </c>
      <c r="O10" s="646">
        <v>0</v>
      </c>
      <c r="P10" s="646">
        <v>0</v>
      </c>
      <c r="Q10" s="646">
        <v>0</v>
      </c>
      <c r="R10" s="647">
        <v>0</v>
      </c>
      <c r="S10" s="648">
        <v>0.97484257826087795</v>
      </c>
      <c r="T10" s="649">
        <v>1.38691243385042</v>
      </c>
      <c r="U10" s="648">
        <v>1.09733404616926</v>
      </c>
      <c r="V10" s="649">
        <v>1.4301343883120099</v>
      </c>
      <c r="W10" s="645">
        <v>0.846723091485443</v>
      </c>
      <c r="X10" s="646">
        <v>0</v>
      </c>
      <c r="Y10" s="646">
        <v>0.81062308398568972</v>
      </c>
      <c r="Z10" s="646">
        <v>0.846723091485443</v>
      </c>
      <c r="AA10" s="646">
        <v>0</v>
      </c>
      <c r="AB10" s="646">
        <v>0.81062308398568972</v>
      </c>
      <c r="AC10" s="646">
        <v>0</v>
      </c>
      <c r="AD10" s="646">
        <v>0</v>
      </c>
      <c r="AE10" s="647">
        <v>0</v>
      </c>
      <c r="AF10" s="645">
        <v>11.980834749276033</v>
      </c>
      <c r="AG10" s="646">
        <v>0</v>
      </c>
      <c r="AH10" s="646">
        <v>11.388491172841311</v>
      </c>
      <c r="AI10" s="646">
        <v>0</v>
      </c>
      <c r="AJ10" s="646">
        <v>0</v>
      </c>
      <c r="AK10" s="647">
        <v>0</v>
      </c>
      <c r="AL10" s="514" t="s">
        <v>426</v>
      </c>
      <c r="AM10" s="515" t="s">
        <v>243</v>
      </c>
      <c r="AN10" s="515" t="s">
        <v>419</v>
      </c>
      <c r="AO10" s="515" t="s">
        <v>420</v>
      </c>
      <c r="AP10" s="515" t="s">
        <v>427</v>
      </c>
    </row>
    <row r="11" spans="1:42" ht="12.75" customHeight="1" x14ac:dyDescent="0.25">
      <c r="A11" s="602"/>
      <c r="B11" s="508" t="s">
        <v>428</v>
      </c>
      <c r="C11" s="509" t="s">
        <v>8</v>
      </c>
      <c r="D11" s="642">
        <v>3694178.2481345199</v>
      </c>
      <c r="E11" s="643">
        <v>2174865.8252266198</v>
      </c>
      <c r="F11" s="643">
        <v>2286513.258518002</v>
      </c>
      <c r="G11" s="643">
        <v>840266.55072000006</v>
      </c>
      <c r="H11" s="644">
        <f t="shared" si="1"/>
        <v>6.0017210236860627E-4</v>
      </c>
      <c r="I11" s="785">
        <v>2543.6009400846683</v>
      </c>
      <c r="J11" s="643">
        <v>2061.50214886</v>
      </c>
      <c r="K11" s="643">
        <v>2556.3235239999935</v>
      </c>
      <c r="L11" s="643">
        <v>1048.1356800000001</v>
      </c>
      <c r="M11" s="644">
        <f t="shared" si="6"/>
        <v>3.7480329886465883E-3</v>
      </c>
      <c r="N11" s="645">
        <v>0</v>
      </c>
      <c r="O11" s="646">
        <v>0</v>
      </c>
      <c r="P11" s="646">
        <v>0</v>
      </c>
      <c r="Q11" s="646">
        <v>0</v>
      </c>
      <c r="R11" s="647">
        <v>0</v>
      </c>
      <c r="S11" s="648">
        <v>0.15781082521072501</v>
      </c>
      <c r="T11" s="649">
        <v>0.14220035456813601</v>
      </c>
      <c r="U11" s="648">
        <v>0.55505911038799904</v>
      </c>
      <c r="V11" s="649">
        <v>0.24241089913858299</v>
      </c>
      <c r="W11" s="645">
        <v>0.64734595737445944</v>
      </c>
      <c r="X11" s="646">
        <v>0</v>
      </c>
      <c r="Y11" s="646">
        <v>0.60000001192092911</v>
      </c>
      <c r="Z11" s="646">
        <v>0.64734595737445944</v>
      </c>
      <c r="AA11" s="646">
        <v>0</v>
      </c>
      <c r="AB11" s="646">
        <v>0.60000001192092911</v>
      </c>
      <c r="AC11" s="646">
        <v>0</v>
      </c>
      <c r="AD11" s="646">
        <v>0</v>
      </c>
      <c r="AE11" s="647">
        <v>0</v>
      </c>
      <c r="AF11" s="645">
        <v>12.968599214371984</v>
      </c>
      <c r="AG11" s="646">
        <v>0</v>
      </c>
      <c r="AH11" s="646">
        <v>13.999999999999996</v>
      </c>
      <c r="AI11" s="646">
        <v>0</v>
      </c>
      <c r="AJ11" s="646">
        <v>0</v>
      </c>
      <c r="AK11" s="647">
        <v>0</v>
      </c>
      <c r="AL11" s="514" t="s">
        <v>416</v>
      </c>
      <c r="AM11" s="515" t="s">
        <v>243</v>
      </c>
      <c r="AN11" s="515" t="s">
        <v>419</v>
      </c>
      <c r="AO11" s="515" t="s">
        <v>420</v>
      </c>
      <c r="AP11" s="515" t="s">
        <v>429</v>
      </c>
    </row>
    <row r="12" spans="1:42" ht="12.75" customHeight="1" x14ac:dyDescent="0.25">
      <c r="A12" s="602"/>
      <c r="B12" s="508" t="s">
        <v>430</v>
      </c>
      <c r="C12" s="509" t="s">
        <v>9</v>
      </c>
      <c r="D12" s="642">
        <v>1469486.9456660824</v>
      </c>
      <c r="E12" s="643">
        <v>936862.80062900099</v>
      </c>
      <c r="F12" s="643">
        <v>530532.09284923703</v>
      </c>
      <c r="G12" s="643">
        <v>0</v>
      </c>
      <c r="H12" s="644">
        <f t="shared" si="1"/>
        <v>0</v>
      </c>
      <c r="I12" s="785">
        <v>1650.8318807896005</v>
      </c>
      <c r="J12" s="643">
        <v>407.71106600000002</v>
      </c>
      <c r="K12" s="643">
        <v>247.11282417301328</v>
      </c>
      <c r="L12" s="643">
        <v>0</v>
      </c>
      <c r="M12" s="644">
        <f t="shared" si="6"/>
        <v>0</v>
      </c>
      <c r="N12" s="645">
        <v>0</v>
      </c>
      <c r="O12" s="646">
        <v>0</v>
      </c>
      <c r="P12" s="646">
        <v>0</v>
      </c>
      <c r="Q12" s="646">
        <v>0</v>
      </c>
      <c r="R12" s="647">
        <v>0</v>
      </c>
      <c r="S12" s="648">
        <v>7.5251892549358795E-2</v>
      </c>
      <c r="T12" s="649">
        <v>0</v>
      </c>
      <c r="U12" s="648">
        <v>0.31333899580726099</v>
      </c>
      <c r="V12" s="649">
        <v>0</v>
      </c>
      <c r="W12" s="645">
        <v>0.60438803412666753</v>
      </c>
      <c r="X12" s="646">
        <v>0</v>
      </c>
      <c r="Y12" s="646">
        <v>0</v>
      </c>
      <c r="Z12" s="646">
        <v>0.60438803412666753</v>
      </c>
      <c r="AA12" s="646">
        <v>0</v>
      </c>
      <c r="AB12" s="646">
        <v>0</v>
      </c>
      <c r="AC12" s="646">
        <v>0</v>
      </c>
      <c r="AD12" s="646">
        <v>0</v>
      </c>
      <c r="AE12" s="647">
        <v>0</v>
      </c>
      <c r="AF12" s="645">
        <v>14.999999999999968</v>
      </c>
      <c r="AG12" s="646">
        <v>0</v>
      </c>
      <c r="AH12" s="646">
        <v>0</v>
      </c>
      <c r="AI12" s="646">
        <v>0</v>
      </c>
      <c r="AJ12" s="646">
        <v>0</v>
      </c>
      <c r="AK12" s="647">
        <v>0</v>
      </c>
      <c r="AL12" s="514" t="s">
        <v>416</v>
      </c>
      <c r="AM12" s="515" t="s">
        <v>243</v>
      </c>
      <c r="AN12" s="515" t="s">
        <v>419</v>
      </c>
      <c r="AO12" s="515" t="s">
        <v>431</v>
      </c>
      <c r="AP12" s="515" t="s">
        <v>432</v>
      </c>
    </row>
    <row r="13" spans="1:42" ht="12.75" customHeight="1" x14ac:dyDescent="0.25">
      <c r="A13" s="602"/>
      <c r="B13" s="508" t="s">
        <v>433</v>
      </c>
      <c r="C13" s="509" t="s">
        <v>7</v>
      </c>
      <c r="D13" s="642">
        <v>800887.86</v>
      </c>
      <c r="E13" s="643">
        <v>3250249.5690000099</v>
      </c>
      <c r="F13" s="643">
        <v>2722072.29</v>
      </c>
      <c r="G13" s="643">
        <v>0</v>
      </c>
      <c r="H13" s="644">
        <f t="shared" si="1"/>
        <v>0</v>
      </c>
      <c r="I13" s="785">
        <v>1418.08866143508</v>
      </c>
      <c r="J13" s="643">
        <v>3197.799</v>
      </c>
      <c r="K13" s="643">
        <v>2690.42</v>
      </c>
      <c r="L13" s="643">
        <v>0</v>
      </c>
      <c r="M13" s="644">
        <f t="shared" si="6"/>
        <v>0</v>
      </c>
      <c r="N13" s="645">
        <v>0</v>
      </c>
      <c r="O13" s="646">
        <v>0</v>
      </c>
      <c r="P13" s="646">
        <v>0</v>
      </c>
      <c r="Q13" s="646">
        <v>0</v>
      </c>
      <c r="R13" s="647">
        <v>0</v>
      </c>
      <c r="S13" s="648">
        <v>0.94034594573319197</v>
      </c>
      <c r="T13" s="649">
        <v>0</v>
      </c>
      <c r="U13" s="648">
        <v>0.96625658472513798</v>
      </c>
      <c r="V13" s="649">
        <v>0</v>
      </c>
      <c r="W13" s="645">
        <v>0.63441579968749584</v>
      </c>
      <c r="X13" s="646">
        <v>0</v>
      </c>
      <c r="Y13" s="646">
        <v>0</v>
      </c>
      <c r="Z13" s="646">
        <v>0.63441579968749584</v>
      </c>
      <c r="AA13" s="646">
        <v>0</v>
      </c>
      <c r="AB13" s="646">
        <v>0</v>
      </c>
      <c r="AC13" s="646">
        <v>0</v>
      </c>
      <c r="AD13" s="646">
        <v>0</v>
      </c>
      <c r="AE13" s="647">
        <v>0</v>
      </c>
      <c r="AF13" s="645">
        <v>13.99999999999997</v>
      </c>
      <c r="AG13" s="646">
        <v>0</v>
      </c>
      <c r="AH13" s="646">
        <v>0</v>
      </c>
      <c r="AI13" s="646">
        <v>0</v>
      </c>
      <c r="AJ13" s="646">
        <v>0</v>
      </c>
      <c r="AK13" s="647">
        <v>0</v>
      </c>
      <c r="AL13" s="514" t="s">
        <v>426</v>
      </c>
      <c r="AM13" s="515" t="s">
        <v>243</v>
      </c>
      <c r="AN13" s="515" t="s">
        <v>434</v>
      </c>
      <c r="AO13" s="515" t="s">
        <v>423</v>
      </c>
      <c r="AP13" s="515" t="s">
        <v>435</v>
      </c>
    </row>
    <row r="14" spans="1:42" ht="12.75" customHeight="1" x14ac:dyDescent="0.25">
      <c r="A14" s="602"/>
      <c r="B14" s="508" t="s">
        <v>436</v>
      </c>
      <c r="C14" s="509" t="s">
        <v>199</v>
      </c>
      <c r="D14" s="642">
        <v>0</v>
      </c>
      <c r="E14" s="643">
        <v>0</v>
      </c>
      <c r="F14" s="643">
        <v>0</v>
      </c>
      <c r="G14" s="643">
        <v>7964409.7752367798</v>
      </c>
      <c r="H14" s="644">
        <f t="shared" si="1"/>
        <v>5.6886907551336879E-3</v>
      </c>
      <c r="I14" s="785">
        <v>0</v>
      </c>
      <c r="J14" s="643">
        <v>0</v>
      </c>
      <c r="K14" s="643">
        <v>0</v>
      </c>
      <c r="L14" s="643">
        <v>3317.3536955671798</v>
      </c>
      <c r="M14" s="644">
        <f t="shared" si="6"/>
        <v>1.1862539672339424E-2</v>
      </c>
      <c r="N14" s="645">
        <v>0</v>
      </c>
      <c r="O14" s="646">
        <v>0</v>
      </c>
      <c r="P14" s="646">
        <v>0</v>
      </c>
      <c r="Q14" s="646">
        <v>0</v>
      </c>
      <c r="R14" s="647">
        <v>0</v>
      </c>
      <c r="S14" s="648">
        <v>0</v>
      </c>
      <c r="T14" s="649">
        <v>1.6270489035823501</v>
      </c>
      <c r="U14" s="648">
        <v>0</v>
      </c>
      <c r="V14" s="649">
        <v>1.6922230578359201</v>
      </c>
      <c r="W14" s="645">
        <v>0</v>
      </c>
      <c r="X14" s="646">
        <v>0</v>
      </c>
      <c r="Y14" s="646">
        <v>0.82707412562615112</v>
      </c>
      <c r="Z14" s="646">
        <v>0</v>
      </c>
      <c r="AA14" s="646">
        <v>0</v>
      </c>
      <c r="AB14" s="646">
        <v>0.82707412562615112</v>
      </c>
      <c r="AC14" s="646">
        <v>0</v>
      </c>
      <c r="AD14" s="646">
        <v>0</v>
      </c>
      <c r="AE14" s="647">
        <v>0</v>
      </c>
      <c r="AF14" s="645">
        <v>0</v>
      </c>
      <c r="AG14" s="646">
        <v>0</v>
      </c>
      <c r="AH14" s="646">
        <v>6.5620727658439115</v>
      </c>
      <c r="AI14" s="646">
        <v>0</v>
      </c>
      <c r="AJ14" s="646">
        <v>0</v>
      </c>
      <c r="AK14" s="647">
        <v>0</v>
      </c>
      <c r="AL14" s="514" t="s">
        <v>416</v>
      </c>
      <c r="AM14" s="515" t="s">
        <v>243</v>
      </c>
      <c r="AN14" s="515" t="s">
        <v>419</v>
      </c>
      <c r="AO14" s="515" t="s">
        <v>437</v>
      </c>
      <c r="AP14" s="515" t="s">
        <v>438</v>
      </c>
    </row>
    <row r="15" spans="1:42" ht="12.75" customHeight="1" x14ac:dyDescent="0.3">
      <c r="A15" s="602"/>
      <c r="B15" s="522" t="s">
        <v>471</v>
      </c>
      <c r="C15" s="523" t="s">
        <v>472</v>
      </c>
      <c r="D15" s="634">
        <f>SUM(D16:D18)</f>
        <v>222057053.87870434</v>
      </c>
      <c r="E15" s="634">
        <f t="shared" ref="E15:G15" si="7">SUM(E16:E18)</f>
        <v>347466877.78485298</v>
      </c>
      <c r="F15" s="634">
        <f t="shared" si="7"/>
        <v>207674803.18465415</v>
      </c>
      <c r="G15" s="634">
        <f t="shared" si="7"/>
        <v>226616830.55536199</v>
      </c>
      <c r="H15" s="636">
        <f t="shared" si="1"/>
        <v>0.16186423166551084</v>
      </c>
      <c r="I15" s="784">
        <f t="shared" ref="I15" si="8">SUM(I16:I18)</f>
        <v>36575.43615970487</v>
      </c>
      <c r="J15" s="634">
        <f t="shared" ref="J15" si="9">SUM(J16:J18)</f>
        <v>48241.356049938506</v>
      </c>
      <c r="K15" s="634">
        <f t="shared" ref="K15" si="10">SUM(K16:K18)</f>
        <v>30125.964278808537</v>
      </c>
      <c r="L15" s="634">
        <f t="shared" ref="L15" si="11">SUM(L16:L18)</f>
        <v>35148.887590881197</v>
      </c>
      <c r="M15" s="636">
        <f t="shared" si="6"/>
        <v>0.12568906174900316</v>
      </c>
      <c r="N15" s="637">
        <v>0</v>
      </c>
      <c r="O15" s="638">
        <v>0</v>
      </c>
      <c r="P15" s="638">
        <v>0</v>
      </c>
      <c r="Q15" s="638">
        <v>0</v>
      </c>
      <c r="R15" s="639">
        <v>0</v>
      </c>
      <c r="S15" s="640">
        <f>AVERAGE(S17:S18)</f>
        <v>1.8014224241253358</v>
      </c>
      <c r="T15" s="641"/>
      <c r="U15" s="640"/>
      <c r="V15" s="641"/>
      <c r="W15" s="637"/>
      <c r="X15" s="638"/>
      <c r="Y15" s="638"/>
      <c r="Z15" s="638"/>
      <c r="AA15" s="638"/>
      <c r="AB15" s="638"/>
      <c r="AC15" s="638"/>
      <c r="AD15" s="638"/>
      <c r="AE15" s="639"/>
      <c r="AF15" s="637"/>
      <c r="AG15" s="638"/>
      <c r="AH15" s="638"/>
      <c r="AI15" s="638"/>
      <c r="AJ15" s="638"/>
      <c r="AK15" s="639"/>
      <c r="AL15" s="524" t="s">
        <v>473</v>
      </c>
      <c r="AM15" s="525" t="s">
        <v>474</v>
      </c>
      <c r="AN15" s="525"/>
      <c r="AO15" s="525"/>
      <c r="AP15" s="525" t="s">
        <v>456</v>
      </c>
    </row>
    <row r="16" spans="1:42" ht="12.75" customHeight="1" x14ac:dyDescent="0.25">
      <c r="A16" s="602"/>
      <c r="B16" s="508" t="s">
        <v>475</v>
      </c>
      <c r="C16" s="509" t="s">
        <v>71</v>
      </c>
      <c r="D16" s="642">
        <v>0</v>
      </c>
      <c r="E16" s="643">
        <v>0</v>
      </c>
      <c r="F16" s="643">
        <v>0</v>
      </c>
      <c r="G16" s="643">
        <v>0</v>
      </c>
      <c r="H16" s="644">
        <f t="shared" si="1"/>
        <v>0</v>
      </c>
      <c r="I16" s="785">
        <v>0</v>
      </c>
      <c r="J16" s="643">
        <v>0</v>
      </c>
      <c r="K16" s="643">
        <v>0</v>
      </c>
      <c r="L16" s="643">
        <v>0</v>
      </c>
      <c r="M16" s="644">
        <f t="shared" si="6"/>
        <v>0</v>
      </c>
      <c r="N16" s="645">
        <v>0</v>
      </c>
      <c r="O16" s="646">
        <v>0</v>
      </c>
      <c r="P16" s="646">
        <v>0</v>
      </c>
      <c r="Q16" s="646">
        <v>0</v>
      </c>
      <c r="R16" s="647">
        <v>0</v>
      </c>
      <c r="S16" s="648">
        <v>0</v>
      </c>
      <c r="T16" s="649">
        <v>0</v>
      </c>
      <c r="U16" s="648">
        <v>0</v>
      </c>
      <c r="V16" s="649">
        <v>0</v>
      </c>
      <c r="W16" s="645">
        <v>0</v>
      </c>
      <c r="X16" s="646">
        <v>0</v>
      </c>
      <c r="Y16" s="646">
        <v>0</v>
      </c>
      <c r="Z16" s="646">
        <v>0</v>
      </c>
      <c r="AA16" s="646">
        <v>0</v>
      </c>
      <c r="AB16" s="646">
        <v>0</v>
      </c>
      <c r="AC16" s="646">
        <v>0</v>
      </c>
      <c r="AD16" s="646">
        <v>0</v>
      </c>
      <c r="AE16" s="647">
        <v>0</v>
      </c>
      <c r="AF16" s="645">
        <v>0</v>
      </c>
      <c r="AG16" s="646">
        <v>0</v>
      </c>
      <c r="AH16" s="646">
        <v>0</v>
      </c>
      <c r="AI16" s="646">
        <v>0</v>
      </c>
      <c r="AJ16" s="646">
        <v>0</v>
      </c>
      <c r="AK16" s="647">
        <v>0</v>
      </c>
      <c r="AL16" s="514" t="s">
        <v>426</v>
      </c>
      <c r="AM16" s="515" t="s">
        <v>474</v>
      </c>
      <c r="AN16" s="515" t="s">
        <v>434</v>
      </c>
      <c r="AO16" s="515" t="s">
        <v>420</v>
      </c>
      <c r="AP16" s="515" t="s">
        <v>456</v>
      </c>
    </row>
    <row r="17" spans="1:42" ht="12.75" customHeight="1" x14ac:dyDescent="0.25">
      <c r="A17" s="602"/>
      <c r="B17" s="508" t="s">
        <v>476</v>
      </c>
      <c r="C17" s="509" t="s">
        <v>477</v>
      </c>
      <c r="D17" s="642">
        <v>20022094.435077991</v>
      </c>
      <c r="E17" s="643">
        <v>159855.37838000001</v>
      </c>
      <c r="F17" s="643">
        <v>0</v>
      </c>
      <c r="G17" s="643">
        <v>0</v>
      </c>
      <c r="H17" s="644">
        <f t="shared" si="1"/>
        <v>0</v>
      </c>
      <c r="I17" s="785">
        <v>4549.7399260000011</v>
      </c>
      <c r="J17" s="643">
        <v>35.457216000000003</v>
      </c>
      <c r="K17" s="643">
        <v>0</v>
      </c>
      <c r="L17" s="643">
        <v>0</v>
      </c>
      <c r="M17" s="644">
        <f t="shared" si="6"/>
        <v>0</v>
      </c>
      <c r="N17" s="645">
        <v>0</v>
      </c>
      <c r="O17" s="646">
        <v>0</v>
      </c>
      <c r="P17" s="646">
        <v>0</v>
      </c>
      <c r="Q17" s="646">
        <v>0</v>
      </c>
      <c r="R17" s="647">
        <v>0</v>
      </c>
      <c r="S17" s="648">
        <v>8.6272480989171701E-2</v>
      </c>
      <c r="T17" s="649">
        <v>0</v>
      </c>
      <c r="U17" s="648">
        <v>8.8083555296802202E-2</v>
      </c>
      <c r="V17" s="649">
        <v>0</v>
      </c>
      <c r="W17" s="645">
        <v>0.66749430985926006</v>
      </c>
      <c r="X17" s="646">
        <v>0</v>
      </c>
      <c r="Y17" s="646">
        <v>0</v>
      </c>
      <c r="Z17" s="646">
        <v>0.66749430985926006</v>
      </c>
      <c r="AA17" s="646">
        <v>0</v>
      </c>
      <c r="AB17" s="646">
        <v>0</v>
      </c>
      <c r="AC17" s="646">
        <v>0</v>
      </c>
      <c r="AD17" s="646">
        <v>0</v>
      </c>
      <c r="AE17" s="647">
        <v>0</v>
      </c>
      <c r="AF17" s="645">
        <v>6.6121855397944032</v>
      </c>
      <c r="AG17" s="646">
        <v>0</v>
      </c>
      <c r="AH17" s="646">
        <v>0</v>
      </c>
      <c r="AI17" s="646">
        <v>0</v>
      </c>
      <c r="AJ17" s="646">
        <v>0</v>
      </c>
      <c r="AK17" s="647">
        <v>0</v>
      </c>
      <c r="AL17" s="514" t="s">
        <v>416</v>
      </c>
      <c r="AM17" s="515" t="s">
        <v>474</v>
      </c>
      <c r="AN17" s="515" t="s">
        <v>419</v>
      </c>
      <c r="AO17" s="515" t="s">
        <v>431</v>
      </c>
      <c r="AP17" s="515" t="s">
        <v>456</v>
      </c>
    </row>
    <row r="18" spans="1:42" ht="12.75" customHeight="1" x14ac:dyDescent="0.25">
      <c r="A18" s="602"/>
      <c r="B18" s="508" t="s">
        <v>478</v>
      </c>
      <c r="C18" s="509" t="s">
        <v>5</v>
      </c>
      <c r="D18" s="642">
        <v>202034959.44362634</v>
      </c>
      <c r="E18" s="643">
        <v>347307022.40647298</v>
      </c>
      <c r="F18" s="643">
        <v>207674803.18465415</v>
      </c>
      <c r="G18" s="643">
        <v>226616830.55536199</v>
      </c>
      <c r="H18" s="644">
        <f t="shared" si="1"/>
        <v>0.16186423166551084</v>
      </c>
      <c r="I18" s="785">
        <v>32025.696233704872</v>
      </c>
      <c r="J18" s="643">
        <v>48205.898833938503</v>
      </c>
      <c r="K18" s="643">
        <v>30125.964278808537</v>
      </c>
      <c r="L18" s="643">
        <v>35148.887590881197</v>
      </c>
      <c r="M18" s="644">
        <f t="shared" si="6"/>
        <v>0.12568906174900316</v>
      </c>
      <c r="N18" s="645">
        <v>0</v>
      </c>
      <c r="O18" s="646">
        <v>0</v>
      </c>
      <c r="P18" s="646">
        <v>0</v>
      </c>
      <c r="Q18" s="646">
        <v>0</v>
      </c>
      <c r="R18" s="647">
        <v>0</v>
      </c>
      <c r="S18" s="649">
        <v>3.5165723672614999</v>
      </c>
      <c r="T18" s="649">
        <v>1.20680430400195</v>
      </c>
      <c r="U18" s="648">
        <v>4.8020462890275297</v>
      </c>
      <c r="V18" s="649">
        <v>1.6923907967727001</v>
      </c>
      <c r="W18" s="645">
        <v>0.61956057990413549</v>
      </c>
      <c r="X18" s="646">
        <v>0</v>
      </c>
      <c r="Y18" s="646">
        <v>0.59874226987588386</v>
      </c>
      <c r="Z18" s="646">
        <v>0.61956057990413549</v>
      </c>
      <c r="AA18" s="646">
        <v>0</v>
      </c>
      <c r="AB18" s="646">
        <v>0.59874226987588386</v>
      </c>
      <c r="AC18" s="646">
        <v>0</v>
      </c>
      <c r="AD18" s="646">
        <v>0</v>
      </c>
      <c r="AE18" s="647">
        <v>0</v>
      </c>
      <c r="AF18" s="645">
        <v>8.423563569744255</v>
      </c>
      <c r="AG18" s="646">
        <v>0</v>
      </c>
      <c r="AH18" s="646">
        <v>6.8850064611093096</v>
      </c>
      <c r="AI18" s="646">
        <v>0</v>
      </c>
      <c r="AJ18" s="646">
        <v>0</v>
      </c>
      <c r="AK18" s="647">
        <v>0</v>
      </c>
      <c r="AL18" s="514" t="s">
        <v>416</v>
      </c>
      <c r="AM18" s="515" t="s">
        <v>474</v>
      </c>
      <c r="AN18" s="515" t="s">
        <v>419</v>
      </c>
      <c r="AO18" s="515" t="s">
        <v>420</v>
      </c>
      <c r="AP18" s="515" t="s">
        <v>456</v>
      </c>
    </row>
    <row r="19" spans="1:42" ht="12.75" customHeight="1" x14ac:dyDescent="0.3">
      <c r="A19" s="671"/>
      <c r="B19" s="536"/>
      <c r="C19" s="523" t="s">
        <v>554</v>
      </c>
      <c r="D19" s="634">
        <f>SUM(D20)</f>
        <v>1618449.6986447377</v>
      </c>
      <c r="E19" s="634">
        <f t="shared" ref="E19:G19" si="12">SUM(E20)</f>
        <v>10454636.447141301</v>
      </c>
      <c r="F19" s="634">
        <f t="shared" si="12"/>
        <v>11811728</v>
      </c>
      <c r="G19" s="634">
        <f t="shared" si="12"/>
        <v>10478743.269425901</v>
      </c>
      <c r="H19" s="636">
        <f t="shared" si="1"/>
        <v>7.4845885187305398E-3</v>
      </c>
      <c r="I19" s="784">
        <f t="shared" ref="I19" si="13">SUM(I20)</f>
        <v>434.25376693175002</v>
      </c>
      <c r="J19" s="634">
        <f t="shared" ref="J19" si="14">SUM(J20)</f>
        <v>8279.8973629678803</v>
      </c>
      <c r="K19" s="634">
        <f t="shared" ref="K19" si="15">SUM(K20)</f>
        <v>5160</v>
      </c>
      <c r="L19" s="634">
        <f t="shared" ref="L19" si="16">SUM(L20)</f>
        <v>4543.0079784068903</v>
      </c>
      <c r="M19" s="636">
        <f t="shared" si="6"/>
        <v>1.6245362213748577E-2</v>
      </c>
      <c r="N19" s="637">
        <v>0</v>
      </c>
      <c r="O19" s="638">
        <v>0</v>
      </c>
      <c r="P19" s="638">
        <v>0</v>
      </c>
      <c r="Q19" s="638">
        <v>0</v>
      </c>
      <c r="R19" s="639">
        <v>0</v>
      </c>
      <c r="S19" s="640">
        <f>AVERAGE(S20)</f>
        <v>2.4598940800739699</v>
      </c>
      <c r="T19" s="641"/>
      <c r="U19" s="640"/>
      <c r="V19" s="641"/>
      <c r="W19" s="637"/>
      <c r="X19" s="638"/>
      <c r="Y19" s="638"/>
      <c r="Z19" s="638"/>
      <c r="AA19" s="638"/>
      <c r="AB19" s="638"/>
      <c r="AC19" s="638"/>
      <c r="AD19" s="638"/>
      <c r="AE19" s="639"/>
      <c r="AF19" s="637"/>
      <c r="AG19" s="638"/>
      <c r="AH19" s="638"/>
      <c r="AI19" s="638"/>
      <c r="AJ19" s="638"/>
      <c r="AK19" s="639"/>
      <c r="AL19" s="524"/>
      <c r="AM19" s="525"/>
      <c r="AN19" s="535"/>
      <c r="AO19" s="535"/>
      <c r="AP19" s="525"/>
    </row>
    <row r="20" spans="1:42" ht="12.75" customHeight="1" x14ac:dyDescent="0.3">
      <c r="A20" s="671"/>
      <c r="B20" s="537" t="s">
        <v>555</v>
      </c>
      <c r="C20" s="527" t="s">
        <v>4</v>
      </c>
      <c r="D20" s="666">
        <v>1618449.6986447377</v>
      </c>
      <c r="E20" s="667">
        <v>10454636.447141301</v>
      </c>
      <c r="F20" s="667">
        <v>11811728</v>
      </c>
      <c r="G20" s="667">
        <v>10478743.269425901</v>
      </c>
      <c r="H20" s="644">
        <f t="shared" si="1"/>
        <v>7.4845885187305398E-3</v>
      </c>
      <c r="I20" s="786">
        <v>434.25376693175002</v>
      </c>
      <c r="J20" s="667">
        <v>8279.8973629678803</v>
      </c>
      <c r="K20" s="667">
        <v>5160</v>
      </c>
      <c r="L20" s="667">
        <v>4543.0079784068903</v>
      </c>
      <c r="M20" s="644">
        <f t="shared" si="6"/>
        <v>1.6245362213748577E-2</v>
      </c>
      <c r="N20" s="668">
        <v>0</v>
      </c>
      <c r="O20" s="669">
        <v>0</v>
      </c>
      <c r="P20" s="669">
        <v>0</v>
      </c>
      <c r="Q20" s="669">
        <v>0</v>
      </c>
      <c r="R20" s="670">
        <v>0</v>
      </c>
      <c r="S20" s="648">
        <v>2.4598940800739699</v>
      </c>
      <c r="T20" s="649">
        <v>1.80150150352323</v>
      </c>
      <c r="U20" s="648">
        <v>2.6111480664793398</v>
      </c>
      <c r="V20" s="649">
        <v>1.8800966823118099</v>
      </c>
      <c r="W20" s="645">
        <v>0.72640195612627401</v>
      </c>
      <c r="X20" s="669">
        <v>0</v>
      </c>
      <c r="Y20" s="646">
        <v>0.9000000000000028</v>
      </c>
      <c r="Z20" s="669">
        <v>0.72640195612627401</v>
      </c>
      <c r="AA20" s="669">
        <v>0</v>
      </c>
      <c r="AB20" s="646">
        <v>0.9000000000000028</v>
      </c>
      <c r="AC20" s="669">
        <v>0</v>
      </c>
      <c r="AD20" s="669">
        <v>0</v>
      </c>
      <c r="AE20" s="670">
        <v>0</v>
      </c>
      <c r="AF20" s="645">
        <v>8.7601973948327707</v>
      </c>
      <c r="AG20" s="669">
        <v>0</v>
      </c>
      <c r="AH20" s="646">
        <v>6.4382512549327862</v>
      </c>
      <c r="AI20" s="669">
        <v>0</v>
      </c>
      <c r="AJ20" s="669">
        <v>0</v>
      </c>
      <c r="AK20" s="670">
        <v>0</v>
      </c>
      <c r="AL20" s="538" t="s">
        <v>516</v>
      </c>
      <c r="AM20" s="539" t="s">
        <v>243</v>
      </c>
      <c r="AN20" s="539" t="s">
        <v>419</v>
      </c>
      <c r="AO20" s="539" t="s">
        <v>420</v>
      </c>
      <c r="AP20" s="539" t="s">
        <v>556</v>
      </c>
    </row>
    <row r="21" spans="1:42" ht="12.75" customHeight="1" x14ac:dyDescent="0.3">
      <c r="A21" s="671"/>
      <c r="B21" s="508"/>
      <c r="C21" s="523" t="s">
        <v>580</v>
      </c>
      <c r="D21" s="634">
        <f>SUM(D22)</f>
        <v>0</v>
      </c>
      <c r="E21" s="634">
        <f t="shared" ref="E21:G21" si="17">SUM(E22)</f>
        <v>0</v>
      </c>
      <c r="F21" s="634">
        <f t="shared" si="17"/>
        <v>0</v>
      </c>
      <c r="G21" s="634">
        <f t="shared" si="17"/>
        <v>0</v>
      </c>
      <c r="H21" s="636">
        <f t="shared" si="1"/>
        <v>0</v>
      </c>
      <c r="I21" s="784">
        <f t="shared" ref="I21" si="18">SUM(I22)</f>
        <v>0</v>
      </c>
      <c r="J21" s="634">
        <f t="shared" ref="J21" si="19">SUM(J22)</f>
        <v>0</v>
      </c>
      <c r="K21" s="634">
        <f t="shared" ref="K21" si="20">SUM(K22)</f>
        <v>0</v>
      </c>
      <c r="L21" s="634">
        <f t="shared" ref="L21" si="21">SUM(L22)</f>
        <v>0</v>
      </c>
      <c r="M21" s="636">
        <f t="shared" si="6"/>
        <v>0</v>
      </c>
      <c r="N21" s="637">
        <v>0</v>
      </c>
      <c r="O21" s="638">
        <v>0</v>
      </c>
      <c r="P21" s="638">
        <v>0</v>
      </c>
      <c r="Q21" s="638">
        <v>0</v>
      </c>
      <c r="R21" s="639">
        <v>0</v>
      </c>
      <c r="S21" s="640"/>
      <c r="T21" s="641"/>
      <c r="U21" s="640"/>
      <c r="V21" s="641"/>
      <c r="W21" s="637"/>
      <c r="X21" s="638"/>
      <c r="Y21" s="638"/>
      <c r="Z21" s="638"/>
      <c r="AA21" s="638"/>
      <c r="AB21" s="638"/>
      <c r="AC21" s="638"/>
      <c r="AD21" s="638"/>
      <c r="AE21" s="639"/>
      <c r="AF21" s="637"/>
      <c r="AG21" s="638"/>
      <c r="AH21" s="638"/>
      <c r="AI21" s="638"/>
      <c r="AJ21" s="638"/>
      <c r="AK21" s="639"/>
      <c r="AL21" s="524"/>
      <c r="AM21" s="525"/>
      <c r="AN21" s="535"/>
      <c r="AO21" s="535"/>
      <c r="AP21" s="525"/>
    </row>
    <row r="22" spans="1:42" ht="12.75" customHeight="1" x14ac:dyDescent="0.3">
      <c r="A22" s="671"/>
      <c r="B22" s="537" t="s">
        <v>581</v>
      </c>
      <c r="C22" s="527" t="s">
        <v>87</v>
      </c>
      <c r="D22" s="666">
        <v>0</v>
      </c>
      <c r="E22" s="667">
        <v>0</v>
      </c>
      <c r="F22" s="667">
        <v>0</v>
      </c>
      <c r="G22" s="667">
        <v>0</v>
      </c>
      <c r="H22" s="644">
        <f t="shared" si="1"/>
        <v>0</v>
      </c>
      <c r="I22" s="786">
        <v>0</v>
      </c>
      <c r="J22" s="667">
        <v>0</v>
      </c>
      <c r="K22" s="667">
        <v>0</v>
      </c>
      <c r="L22" s="667">
        <v>0</v>
      </c>
      <c r="M22" s="644">
        <f t="shared" si="6"/>
        <v>0</v>
      </c>
      <c r="N22" s="668">
        <v>0</v>
      </c>
      <c r="O22" s="669">
        <v>0</v>
      </c>
      <c r="P22" s="669">
        <v>0</v>
      </c>
      <c r="Q22" s="669">
        <v>0</v>
      </c>
      <c r="R22" s="670">
        <v>0</v>
      </c>
      <c r="S22" s="648">
        <v>0</v>
      </c>
      <c r="T22" s="649">
        <v>0</v>
      </c>
      <c r="U22" s="648">
        <v>0</v>
      </c>
      <c r="V22" s="649">
        <v>0</v>
      </c>
      <c r="W22" s="668">
        <v>0</v>
      </c>
      <c r="X22" s="669">
        <v>0</v>
      </c>
      <c r="Y22" s="669">
        <v>0</v>
      </c>
      <c r="Z22" s="669">
        <v>0</v>
      </c>
      <c r="AA22" s="669">
        <v>0</v>
      </c>
      <c r="AB22" s="646">
        <v>0</v>
      </c>
      <c r="AC22" s="669">
        <v>0</v>
      </c>
      <c r="AD22" s="669">
        <v>0</v>
      </c>
      <c r="AE22" s="670">
        <v>0</v>
      </c>
      <c r="AF22" s="668">
        <v>0</v>
      </c>
      <c r="AG22" s="669">
        <v>0</v>
      </c>
      <c r="AH22" s="669">
        <v>0</v>
      </c>
      <c r="AI22" s="669">
        <v>0</v>
      </c>
      <c r="AJ22" s="669">
        <v>0</v>
      </c>
      <c r="AK22" s="670">
        <v>0</v>
      </c>
      <c r="AL22" s="538" t="s">
        <v>516</v>
      </c>
      <c r="AM22" s="539" t="s">
        <v>474</v>
      </c>
      <c r="AN22" s="539" t="s">
        <v>434</v>
      </c>
      <c r="AO22" s="539" t="s">
        <v>431</v>
      </c>
      <c r="AP22" s="539" t="s">
        <v>435</v>
      </c>
    </row>
    <row r="23" spans="1:42" ht="12.75" customHeight="1" x14ac:dyDescent="0.3">
      <c r="A23" s="602"/>
      <c r="B23" s="522" t="s">
        <v>439</v>
      </c>
      <c r="C23" s="523" t="s">
        <v>440</v>
      </c>
      <c r="D23" s="634">
        <f>SUM(D24:D33)</f>
        <v>235981276.6185821</v>
      </c>
      <c r="E23" s="634">
        <f t="shared" ref="E23:G23" si="22">SUM(E24:E33)</f>
        <v>261857322.2115773</v>
      </c>
      <c r="F23" s="634">
        <f t="shared" si="22"/>
        <v>230171380.93871599</v>
      </c>
      <c r="G23" s="634">
        <f t="shared" si="22"/>
        <v>232625002.15088359</v>
      </c>
      <c r="H23" s="636">
        <f t="shared" si="1"/>
        <v>0.16615565201871391</v>
      </c>
      <c r="I23" s="784">
        <f t="shared" ref="I23" si="23">SUM(I24:I33)</f>
        <v>47841.122624197873</v>
      </c>
      <c r="J23" s="634">
        <f t="shared" ref="J23" si="24">SUM(J24:J33)</f>
        <v>49472.130980142814</v>
      </c>
      <c r="K23" s="634">
        <f t="shared" ref="K23" si="25">SUM(K24:K33)</f>
        <v>49803.388094575246</v>
      </c>
      <c r="L23" s="634">
        <f t="shared" ref="L23" si="26">SUM(L24:L33)</f>
        <v>49816.619033709561</v>
      </c>
      <c r="M23" s="636">
        <f t="shared" si="6"/>
        <v>0.17813946713576523</v>
      </c>
      <c r="N23" s="650">
        <v>0</v>
      </c>
      <c r="O23" s="651">
        <v>0</v>
      </c>
      <c r="P23" s="651">
        <v>0</v>
      </c>
      <c r="Q23" s="651">
        <v>0</v>
      </c>
      <c r="R23" s="652">
        <v>0</v>
      </c>
      <c r="S23" s="640">
        <f>AVERAGE(S25:S27,S29:S30,S32)</f>
        <v>1.2252098390888053</v>
      </c>
      <c r="T23" s="654"/>
      <c r="U23" s="653"/>
      <c r="V23" s="654"/>
      <c r="W23" s="650"/>
      <c r="X23" s="651"/>
      <c r="Y23" s="651"/>
      <c r="Z23" s="651"/>
      <c r="AA23" s="651"/>
      <c r="AB23" s="651"/>
      <c r="AC23" s="651"/>
      <c r="AD23" s="651"/>
      <c r="AE23" s="652"/>
      <c r="AF23" s="650"/>
      <c r="AG23" s="651"/>
      <c r="AH23" s="651"/>
      <c r="AI23" s="651"/>
      <c r="AJ23" s="651"/>
      <c r="AK23" s="652"/>
      <c r="AL23" s="524" t="s">
        <v>416</v>
      </c>
      <c r="AM23" s="525" t="s">
        <v>244</v>
      </c>
      <c r="AN23" s="525"/>
      <c r="AO23" s="525"/>
      <c r="AP23" s="525" t="s">
        <v>441</v>
      </c>
    </row>
    <row r="24" spans="1:42" ht="12.75" customHeight="1" x14ac:dyDescent="0.25">
      <c r="A24" s="602"/>
      <c r="B24" s="508" t="s">
        <v>442</v>
      </c>
      <c r="C24" s="527" t="s">
        <v>76</v>
      </c>
      <c r="D24" s="642">
        <v>0</v>
      </c>
      <c r="E24" s="643">
        <v>0</v>
      </c>
      <c r="F24" s="643">
        <v>0</v>
      </c>
      <c r="G24" s="643">
        <v>0</v>
      </c>
      <c r="H24" s="644">
        <f t="shared" si="1"/>
        <v>0</v>
      </c>
      <c r="I24" s="785">
        <v>0</v>
      </c>
      <c r="J24" s="643">
        <v>0</v>
      </c>
      <c r="K24" s="643">
        <v>0</v>
      </c>
      <c r="L24" s="643">
        <v>0</v>
      </c>
      <c r="M24" s="644">
        <f t="shared" si="6"/>
        <v>0</v>
      </c>
      <c r="N24" s="645">
        <v>0</v>
      </c>
      <c r="O24" s="646">
        <v>0</v>
      </c>
      <c r="P24" s="646">
        <v>0</v>
      </c>
      <c r="Q24" s="646">
        <v>0</v>
      </c>
      <c r="R24" s="647">
        <v>0</v>
      </c>
      <c r="S24" s="648">
        <v>0</v>
      </c>
      <c r="T24" s="649">
        <v>0</v>
      </c>
      <c r="U24" s="648">
        <v>0</v>
      </c>
      <c r="V24" s="649">
        <v>0</v>
      </c>
      <c r="W24" s="645">
        <v>0</v>
      </c>
      <c r="X24" s="646">
        <v>0</v>
      </c>
      <c r="Y24" s="646">
        <v>0</v>
      </c>
      <c r="Z24" s="646">
        <v>0</v>
      </c>
      <c r="AA24" s="646">
        <v>0</v>
      </c>
      <c r="AB24" s="646">
        <v>0</v>
      </c>
      <c r="AC24" s="646">
        <v>0</v>
      </c>
      <c r="AD24" s="646">
        <v>0</v>
      </c>
      <c r="AE24" s="647">
        <v>0</v>
      </c>
      <c r="AF24" s="645">
        <v>0</v>
      </c>
      <c r="AG24" s="646">
        <v>0</v>
      </c>
      <c r="AH24" s="646">
        <v>0</v>
      </c>
      <c r="AI24" s="646">
        <v>0</v>
      </c>
      <c r="AJ24" s="646">
        <v>0</v>
      </c>
      <c r="AK24" s="647">
        <v>0</v>
      </c>
      <c r="AL24" s="514" t="s">
        <v>416</v>
      </c>
      <c r="AM24" s="515" t="s">
        <v>244</v>
      </c>
      <c r="AN24" s="515" t="s">
        <v>434</v>
      </c>
      <c r="AO24" s="515" t="s">
        <v>420</v>
      </c>
      <c r="AP24" s="515" t="s">
        <v>421</v>
      </c>
    </row>
    <row r="25" spans="1:42" ht="12.75" customHeight="1" x14ac:dyDescent="0.25">
      <c r="A25" s="602"/>
      <c r="B25" s="508" t="s">
        <v>443</v>
      </c>
      <c r="C25" s="527" t="s">
        <v>444</v>
      </c>
      <c r="D25" s="642">
        <v>31016698.866579466</v>
      </c>
      <c r="E25" s="643">
        <v>51064570.674000204</v>
      </c>
      <c r="F25" s="643">
        <v>42009076.245999999</v>
      </c>
      <c r="G25" s="643">
        <v>41102750.570637502</v>
      </c>
      <c r="H25" s="644">
        <f t="shared" si="1"/>
        <v>2.9358212821840906E-2</v>
      </c>
      <c r="I25" s="785">
        <v>4545.1286517289482</v>
      </c>
      <c r="J25" s="643">
        <v>4708.1048441596404</v>
      </c>
      <c r="K25" s="643">
        <v>4919.5159999999996</v>
      </c>
      <c r="L25" s="643">
        <v>4133.4176803379196</v>
      </c>
      <c r="M25" s="644">
        <f t="shared" si="6"/>
        <v>1.4780706465179755E-2</v>
      </c>
      <c r="N25" s="645">
        <v>0</v>
      </c>
      <c r="O25" s="646">
        <v>0</v>
      </c>
      <c r="P25" s="646">
        <v>0</v>
      </c>
      <c r="Q25" s="646">
        <v>0</v>
      </c>
      <c r="R25" s="647">
        <v>0</v>
      </c>
      <c r="S25" s="648">
        <v>0.92955417257024098</v>
      </c>
      <c r="T25" s="649">
        <v>2.3873330670694499</v>
      </c>
      <c r="U25" s="648">
        <v>3.1154135983226201</v>
      </c>
      <c r="V25" s="649">
        <v>6.5619154246986602</v>
      </c>
      <c r="W25" s="645">
        <v>0.84859253097007115</v>
      </c>
      <c r="X25" s="646">
        <v>0</v>
      </c>
      <c r="Y25" s="646">
        <v>0.82810470788765467</v>
      </c>
      <c r="Z25" s="646">
        <v>0.84859253097007115</v>
      </c>
      <c r="AA25" s="646">
        <v>0</v>
      </c>
      <c r="AB25" s="646">
        <v>0.82810470788765467</v>
      </c>
      <c r="AC25" s="646">
        <v>0</v>
      </c>
      <c r="AD25" s="646">
        <v>0</v>
      </c>
      <c r="AE25" s="647">
        <v>0</v>
      </c>
      <c r="AF25" s="645">
        <v>10.170490330692868</v>
      </c>
      <c r="AG25" s="646">
        <v>0</v>
      </c>
      <c r="AH25" s="646">
        <v>11.163756696367328</v>
      </c>
      <c r="AI25" s="646">
        <v>0</v>
      </c>
      <c r="AJ25" s="646">
        <v>0</v>
      </c>
      <c r="AK25" s="647">
        <v>0</v>
      </c>
      <c r="AL25" s="514" t="s">
        <v>416</v>
      </c>
      <c r="AM25" s="515" t="s">
        <v>244</v>
      </c>
      <c r="AN25" s="515" t="s">
        <v>419</v>
      </c>
      <c r="AO25" s="515" t="s">
        <v>420</v>
      </c>
      <c r="AP25" s="515" t="s">
        <v>445</v>
      </c>
    </row>
    <row r="26" spans="1:42" ht="12.75" customHeight="1" x14ac:dyDescent="0.25">
      <c r="A26" s="602"/>
      <c r="B26" s="508" t="s">
        <v>446</v>
      </c>
      <c r="C26" s="527" t="s">
        <v>15</v>
      </c>
      <c r="D26" s="642">
        <v>45490371.632989138</v>
      </c>
      <c r="E26" s="643">
        <v>98927183.563079104</v>
      </c>
      <c r="F26" s="643">
        <v>25325968.7658922</v>
      </c>
      <c r="G26" s="643">
        <v>27967440.8711266</v>
      </c>
      <c r="H26" s="644">
        <f t="shared" si="1"/>
        <v>1.9976134681442353E-2</v>
      </c>
      <c r="I26" s="785">
        <v>8309.5119772639027</v>
      </c>
      <c r="J26" s="643">
        <v>16951.0575518039</v>
      </c>
      <c r="K26" s="643">
        <v>4343.0298500899999</v>
      </c>
      <c r="L26" s="643">
        <v>4427.0780132426298</v>
      </c>
      <c r="M26" s="644">
        <f t="shared" si="6"/>
        <v>1.5830807741365482E-2</v>
      </c>
      <c r="N26" s="645">
        <v>0</v>
      </c>
      <c r="O26" s="646">
        <v>0</v>
      </c>
      <c r="P26" s="646">
        <v>0</v>
      </c>
      <c r="Q26" s="646">
        <v>0</v>
      </c>
      <c r="R26" s="647">
        <v>0</v>
      </c>
      <c r="S26" s="648">
        <v>1.44462699500208</v>
      </c>
      <c r="T26" s="649">
        <v>2.8056862645191099</v>
      </c>
      <c r="U26" s="648">
        <v>2.5904370759897999</v>
      </c>
      <c r="V26" s="649">
        <v>3.5734918691163999</v>
      </c>
      <c r="W26" s="645">
        <v>0.67738370929521852</v>
      </c>
      <c r="X26" s="646">
        <v>0</v>
      </c>
      <c r="Y26" s="646">
        <v>0.66040871080048102</v>
      </c>
      <c r="Z26" s="646">
        <v>0.67738370929521852</v>
      </c>
      <c r="AA26" s="646">
        <v>0</v>
      </c>
      <c r="AB26" s="646">
        <v>0.66040871080048102</v>
      </c>
      <c r="AC26" s="646">
        <v>0</v>
      </c>
      <c r="AD26" s="646">
        <v>0</v>
      </c>
      <c r="AE26" s="647">
        <v>0</v>
      </c>
      <c r="AF26" s="645">
        <v>9.4283744612180378</v>
      </c>
      <c r="AG26" s="646">
        <v>0</v>
      </c>
      <c r="AH26" s="646">
        <v>12.482975934265287</v>
      </c>
      <c r="AI26" s="646">
        <v>0</v>
      </c>
      <c r="AJ26" s="646">
        <v>0</v>
      </c>
      <c r="AK26" s="647">
        <v>0</v>
      </c>
      <c r="AL26" s="514" t="s">
        <v>426</v>
      </c>
      <c r="AM26" s="515" t="s">
        <v>244</v>
      </c>
      <c r="AN26" s="515" t="s">
        <v>419</v>
      </c>
      <c r="AO26" s="515" t="s">
        <v>420</v>
      </c>
      <c r="AP26" s="515" t="s">
        <v>447</v>
      </c>
    </row>
    <row r="27" spans="1:42" ht="12.75" customHeight="1" x14ac:dyDescent="0.25">
      <c r="A27" s="602"/>
      <c r="B27" s="508" t="s">
        <v>448</v>
      </c>
      <c r="C27" s="527" t="s">
        <v>37</v>
      </c>
      <c r="D27" s="642">
        <v>31696025.478649292</v>
      </c>
      <c r="E27" s="643">
        <v>26971887.102921199</v>
      </c>
      <c r="F27" s="643">
        <v>46466195.440416701</v>
      </c>
      <c r="G27" s="643">
        <v>38201472.706009001</v>
      </c>
      <c r="H27" s="644">
        <f t="shared" si="1"/>
        <v>2.7285934645258074E-2</v>
      </c>
      <c r="I27" s="785">
        <v>8038.2477022455278</v>
      </c>
      <c r="J27" s="643">
        <v>6729.6719563933502</v>
      </c>
      <c r="K27" s="643">
        <v>11488.808550380349</v>
      </c>
      <c r="L27" s="643">
        <v>11372.823383999999</v>
      </c>
      <c r="M27" s="644">
        <f t="shared" si="6"/>
        <v>4.0668129165570742E-2</v>
      </c>
      <c r="N27" s="645">
        <v>0</v>
      </c>
      <c r="O27" s="646">
        <v>0</v>
      </c>
      <c r="P27" s="646">
        <v>0</v>
      </c>
      <c r="Q27" s="646">
        <v>0</v>
      </c>
      <c r="R27" s="647">
        <v>0</v>
      </c>
      <c r="S27" s="648">
        <v>1.0061280392657399</v>
      </c>
      <c r="T27" s="649">
        <v>1.4616131232984699</v>
      </c>
      <c r="U27" s="648">
        <v>1.04756890983874</v>
      </c>
      <c r="V27" s="649">
        <v>1.5208460576034</v>
      </c>
      <c r="W27" s="645">
        <v>0.65528834141356285</v>
      </c>
      <c r="X27" s="646">
        <v>0</v>
      </c>
      <c r="Y27" s="646">
        <v>0.65000002384185696</v>
      </c>
      <c r="Z27" s="646">
        <v>0.65528834141356285</v>
      </c>
      <c r="AA27" s="646">
        <v>0</v>
      </c>
      <c r="AB27" s="646">
        <v>0.65000002384185696</v>
      </c>
      <c r="AC27" s="646">
        <v>0</v>
      </c>
      <c r="AD27" s="646">
        <v>0</v>
      </c>
      <c r="AE27" s="647">
        <v>0</v>
      </c>
      <c r="AF27" s="645">
        <v>10.530970243752158</v>
      </c>
      <c r="AG27" s="646">
        <v>0</v>
      </c>
      <c r="AH27" s="646">
        <v>9.6935519195372652</v>
      </c>
      <c r="AI27" s="646">
        <v>0</v>
      </c>
      <c r="AJ27" s="646">
        <v>0</v>
      </c>
      <c r="AK27" s="647">
        <v>0</v>
      </c>
      <c r="AL27" s="514" t="s">
        <v>416</v>
      </c>
      <c r="AM27" s="515" t="s">
        <v>244</v>
      </c>
      <c r="AN27" s="515" t="s">
        <v>419</v>
      </c>
      <c r="AO27" s="515" t="s">
        <v>420</v>
      </c>
      <c r="AP27" s="515" t="s">
        <v>438</v>
      </c>
    </row>
    <row r="28" spans="1:42" ht="12.75" customHeight="1" x14ac:dyDescent="0.25">
      <c r="A28" s="602"/>
      <c r="B28" s="508" t="s">
        <v>449</v>
      </c>
      <c r="C28" s="527" t="s">
        <v>450</v>
      </c>
      <c r="D28" s="642">
        <v>0</v>
      </c>
      <c r="E28" s="643">
        <v>0</v>
      </c>
      <c r="F28" s="643">
        <v>0</v>
      </c>
      <c r="G28" s="643">
        <v>0</v>
      </c>
      <c r="H28" s="644">
        <f t="shared" si="1"/>
        <v>0</v>
      </c>
      <c r="I28" s="785">
        <v>0</v>
      </c>
      <c r="J28" s="643">
        <v>0</v>
      </c>
      <c r="K28" s="643">
        <v>0</v>
      </c>
      <c r="L28" s="643">
        <v>0</v>
      </c>
      <c r="M28" s="644">
        <f t="shared" si="6"/>
        <v>0</v>
      </c>
      <c r="N28" s="645">
        <v>0</v>
      </c>
      <c r="O28" s="646">
        <v>0</v>
      </c>
      <c r="P28" s="646">
        <v>0</v>
      </c>
      <c r="Q28" s="646">
        <v>0</v>
      </c>
      <c r="R28" s="647">
        <v>0</v>
      </c>
      <c r="S28" s="648">
        <v>0</v>
      </c>
      <c r="T28" s="649">
        <v>0</v>
      </c>
      <c r="U28" s="648">
        <v>0</v>
      </c>
      <c r="V28" s="649">
        <v>0</v>
      </c>
      <c r="W28" s="645">
        <v>0</v>
      </c>
      <c r="X28" s="646">
        <v>0</v>
      </c>
      <c r="Y28" s="646">
        <v>0</v>
      </c>
      <c r="Z28" s="646">
        <v>0</v>
      </c>
      <c r="AA28" s="646">
        <v>0</v>
      </c>
      <c r="AB28" s="646">
        <v>0</v>
      </c>
      <c r="AC28" s="646">
        <v>0</v>
      </c>
      <c r="AD28" s="646">
        <v>0</v>
      </c>
      <c r="AE28" s="647">
        <v>0</v>
      </c>
      <c r="AF28" s="645">
        <v>0</v>
      </c>
      <c r="AG28" s="646">
        <v>0</v>
      </c>
      <c r="AH28" s="646">
        <v>0</v>
      </c>
      <c r="AI28" s="646">
        <v>0</v>
      </c>
      <c r="AJ28" s="646">
        <v>0</v>
      </c>
      <c r="AK28" s="647">
        <v>0</v>
      </c>
      <c r="AL28" s="514" t="s">
        <v>416</v>
      </c>
      <c r="AM28" s="515" t="s">
        <v>244</v>
      </c>
      <c r="AN28" s="515" t="s">
        <v>434</v>
      </c>
      <c r="AO28" s="515" t="s">
        <v>420</v>
      </c>
      <c r="AP28" s="515" t="s">
        <v>451</v>
      </c>
    </row>
    <row r="29" spans="1:42" ht="12.75" customHeight="1" x14ac:dyDescent="0.25">
      <c r="A29" s="602"/>
      <c r="B29" s="508" t="s">
        <v>452</v>
      </c>
      <c r="C29" s="527" t="s">
        <v>12</v>
      </c>
      <c r="D29" s="642">
        <v>46658861.005330384</v>
      </c>
      <c r="E29" s="643">
        <v>28528250.711565401</v>
      </c>
      <c r="F29" s="643">
        <v>35108704.694896109</v>
      </c>
      <c r="G29" s="643">
        <v>28470220.277424701</v>
      </c>
      <c r="H29" s="644">
        <f t="shared" si="1"/>
        <v>2.033525188424783E-2</v>
      </c>
      <c r="I29" s="785">
        <v>13555.032645928148</v>
      </c>
      <c r="J29" s="643">
        <v>10742.6892270879</v>
      </c>
      <c r="K29" s="643">
        <v>13245.104895104892</v>
      </c>
      <c r="L29" s="643">
        <v>10755.3582563046</v>
      </c>
      <c r="M29" s="644">
        <f t="shared" si="6"/>
        <v>3.8460132899341894E-2</v>
      </c>
      <c r="N29" s="645">
        <v>0</v>
      </c>
      <c r="O29" s="646">
        <v>0</v>
      </c>
      <c r="P29" s="646">
        <v>0</v>
      </c>
      <c r="Q29" s="646">
        <v>0</v>
      </c>
      <c r="R29" s="647">
        <v>0</v>
      </c>
      <c r="S29" s="648">
        <v>1.07255065945067</v>
      </c>
      <c r="T29" s="649">
        <v>0.80128069036597505</v>
      </c>
      <c r="U29" s="648">
        <v>1.20486236314213</v>
      </c>
      <c r="V29" s="649">
        <v>1.04277054389436</v>
      </c>
      <c r="W29" s="645">
        <v>0.82750780210328634</v>
      </c>
      <c r="X29" s="646">
        <v>0</v>
      </c>
      <c r="Y29" s="646">
        <v>0.8187463560928907</v>
      </c>
      <c r="Z29" s="646">
        <v>0.82750780210328634</v>
      </c>
      <c r="AA29" s="646">
        <v>0</v>
      </c>
      <c r="AB29" s="646">
        <v>0.8187463560928907</v>
      </c>
      <c r="AC29" s="646">
        <v>0</v>
      </c>
      <c r="AD29" s="646">
        <v>0</v>
      </c>
      <c r="AE29" s="647">
        <v>0</v>
      </c>
      <c r="AF29" s="645">
        <v>13.975900608105572</v>
      </c>
      <c r="AG29" s="646">
        <v>0</v>
      </c>
      <c r="AH29" s="646">
        <v>8.8127481250521473</v>
      </c>
      <c r="AI29" s="646">
        <v>0</v>
      </c>
      <c r="AJ29" s="646">
        <v>0</v>
      </c>
      <c r="AK29" s="647">
        <v>0</v>
      </c>
      <c r="AL29" s="514" t="s">
        <v>416</v>
      </c>
      <c r="AM29" s="515" t="s">
        <v>244</v>
      </c>
      <c r="AN29" s="515" t="s">
        <v>419</v>
      </c>
      <c r="AO29" s="515" t="s">
        <v>420</v>
      </c>
      <c r="AP29" s="515" t="s">
        <v>432</v>
      </c>
    </row>
    <row r="30" spans="1:42" ht="12.75" customHeight="1" x14ac:dyDescent="0.25">
      <c r="A30" s="602"/>
      <c r="B30" s="508" t="s">
        <v>453</v>
      </c>
      <c r="C30" s="527" t="s">
        <v>454</v>
      </c>
      <c r="D30" s="642">
        <v>38669944.761878654</v>
      </c>
      <c r="E30" s="643">
        <v>27471543.530011401</v>
      </c>
      <c r="F30" s="643">
        <v>36394504.359999999</v>
      </c>
      <c r="G30" s="643">
        <v>39362643.575999998</v>
      </c>
      <c r="H30" s="644">
        <f t="shared" si="1"/>
        <v>2.8115317133058551E-2</v>
      </c>
      <c r="I30" s="785">
        <v>6905.3116470313498</v>
      </c>
      <c r="J30" s="643">
        <v>5849.4110000000001</v>
      </c>
      <c r="K30" s="643">
        <v>7565.3130000000001</v>
      </c>
      <c r="L30" s="643">
        <v>6569.8919999999998</v>
      </c>
      <c r="M30" s="644">
        <f t="shared" si="6"/>
        <v>2.3493305702411836E-2</v>
      </c>
      <c r="N30" s="645">
        <v>0</v>
      </c>
      <c r="O30" s="646">
        <v>0</v>
      </c>
      <c r="P30" s="646">
        <v>0</v>
      </c>
      <c r="Q30" s="646">
        <v>0</v>
      </c>
      <c r="R30" s="647">
        <v>0</v>
      </c>
      <c r="S30" s="648">
        <v>2.84326790450167</v>
      </c>
      <c r="T30" s="649">
        <v>3.0140531968072399</v>
      </c>
      <c r="U30" s="648">
        <v>3.77225833376359</v>
      </c>
      <c r="V30" s="649">
        <v>4.1211674182009599</v>
      </c>
      <c r="W30" s="645">
        <v>0.6613784589775491</v>
      </c>
      <c r="X30" s="646">
        <v>0</v>
      </c>
      <c r="Y30" s="646">
        <v>0.64973602341184389</v>
      </c>
      <c r="Z30" s="646">
        <v>0.6613784589775491</v>
      </c>
      <c r="AA30" s="646">
        <v>0</v>
      </c>
      <c r="AB30" s="646">
        <v>0.64973602341184389</v>
      </c>
      <c r="AC30" s="646">
        <v>0</v>
      </c>
      <c r="AD30" s="646">
        <v>0</v>
      </c>
      <c r="AE30" s="647">
        <v>0</v>
      </c>
      <c r="AF30" s="645">
        <v>13.558363539104461</v>
      </c>
      <c r="AG30" s="646">
        <v>0</v>
      </c>
      <c r="AH30" s="646">
        <v>13.75022657985831</v>
      </c>
      <c r="AI30" s="646">
        <v>0</v>
      </c>
      <c r="AJ30" s="646">
        <v>0</v>
      </c>
      <c r="AK30" s="647">
        <v>0</v>
      </c>
      <c r="AL30" s="514" t="s">
        <v>416</v>
      </c>
      <c r="AM30" s="515" t="s">
        <v>244</v>
      </c>
      <c r="AN30" s="515" t="s">
        <v>419</v>
      </c>
      <c r="AO30" s="515" t="s">
        <v>420</v>
      </c>
      <c r="AP30" s="515" t="s">
        <v>435</v>
      </c>
    </row>
    <row r="31" spans="1:42" ht="12.75" customHeight="1" x14ac:dyDescent="0.25">
      <c r="A31" s="602"/>
      <c r="B31" s="508" t="s">
        <v>455</v>
      </c>
      <c r="C31" s="509" t="s">
        <v>20</v>
      </c>
      <c r="D31" s="642">
        <v>0</v>
      </c>
      <c r="E31" s="643">
        <v>0</v>
      </c>
      <c r="F31" s="643">
        <v>8329976.2015110003</v>
      </c>
      <c r="G31" s="643">
        <v>22210054.466499999</v>
      </c>
      <c r="H31" s="644">
        <f t="shared" si="1"/>
        <v>1.5863841148333932E-2</v>
      </c>
      <c r="I31" s="785">
        <v>0</v>
      </c>
      <c r="J31" s="643">
        <v>0</v>
      </c>
      <c r="K31" s="643">
        <v>2849.3881590000001</v>
      </c>
      <c r="L31" s="643">
        <v>6891.5982639499998</v>
      </c>
      <c r="M31" s="644">
        <f t="shared" si="6"/>
        <v>2.464369654679073E-2</v>
      </c>
      <c r="N31" s="645">
        <v>0</v>
      </c>
      <c r="O31" s="646">
        <v>0</v>
      </c>
      <c r="P31" s="646">
        <v>0</v>
      </c>
      <c r="Q31" s="646">
        <v>0</v>
      </c>
      <c r="R31" s="647">
        <v>0</v>
      </c>
      <c r="S31" s="648">
        <v>0</v>
      </c>
      <c r="T31" s="649">
        <v>1.19894423672808</v>
      </c>
      <c r="U31" s="648">
        <v>0</v>
      </c>
      <c r="V31" s="649">
        <v>1.8142872369623999</v>
      </c>
      <c r="W31" s="645">
        <v>0</v>
      </c>
      <c r="X31" s="646">
        <v>0</v>
      </c>
      <c r="Y31" s="646">
        <v>0.67457265473271055</v>
      </c>
      <c r="Z31" s="646">
        <v>0</v>
      </c>
      <c r="AA31" s="646">
        <v>0</v>
      </c>
      <c r="AB31" s="646">
        <v>0.67457265473271055</v>
      </c>
      <c r="AC31" s="646">
        <v>0</v>
      </c>
      <c r="AD31" s="646">
        <v>0</v>
      </c>
      <c r="AE31" s="647">
        <v>0</v>
      </c>
      <c r="AF31" s="645">
        <v>0</v>
      </c>
      <c r="AG31" s="646">
        <v>0</v>
      </c>
      <c r="AH31" s="646">
        <v>9.7884090449272811</v>
      </c>
      <c r="AI31" s="646">
        <v>0</v>
      </c>
      <c r="AJ31" s="646">
        <v>0</v>
      </c>
      <c r="AK31" s="647">
        <v>0</v>
      </c>
      <c r="AL31" s="514" t="s">
        <v>426</v>
      </c>
      <c r="AM31" s="515" t="s">
        <v>244</v>
      </c>
      <c r="AN31" s="515" t="s">
        <v>419</v>
      </c>
      <c r="AO31" s="515" t="s">
        <v>437</v>
      </c>
      <c r="AP31" s="515" t="s">
        <v>456</v>
      </c>
    </row>
    <row r="32" spans="1:42" ht="12.75" customHeight="1" x14ac:dyDescent="0.3">
      <c r="A32" s="671"/>
      <c r="B32" s="537" t="s">
        <v>582</v>
      </c>
      <c r="C32" s="527" t="s">
        <v>218</v>
      </c>
      <c r="D32" s="666">
        <v>6228212.8731551599</v>
      </c>
      <c r="E32" s="667">
        <v>608585.63</v>
      </c>
      <c r="F32" s="667">
        <v>5652417.9100000001</v>
      </c>
      <c r="G32" s="667">
        <v>4428462.6831857804</v>
      </c>
      <c r="H32" s="644">
        <f t="shared" si="1"/>
        <v>3.1630912316467944E-3</v>
      </c>
      <c r="I32" s="786">
        <v>917.89</v>
      </c>
      <c r="J32" s="667">
        <v>75.196400698020497</v>
      </c>
      <c r="K32" s="667">
        <v>742.57763999999997</v>
      </c>
      <c r="L32" s="667">
        <v>1180.45143587441</v>
      </c>
      <c r="M32" s="644">
        <f t="shared" si="6"/>
        <v>4.221181482107852E-3</v>
      </c>
      <c r="N32" s="668">
        <v>0</v>
      </c>
      <c r="O32" s="669">
        <v>0</v>
      </c>
      <c r="P32" s="669">
        <v>0</v>
      </c>
      <c r="Q32" s="669">
        <v>0</v>
      </c>
      <c r="R32" s="670">
        <v>0</v>
      </c>
      <c r="S32" s="648">
        <v>5.5131263742430603E-2</v>
      </c>
      <c r="T32" s="649">
        <v>0.83850461062639403</v>
      </c>
      <c r="U32" s="648">
        <v>5.5626422006568102E-2</v>
      </c>
      <c r="V32" s="649">
        <v>1.5577255600037401</v>
      </c>
      <c r="W32" s="645">
        <v>0.65000002384185795</v>
      </c>
      <c r="X32" s="669">
        <v>0</v>
      </c>
      <c r="Y32" s="646">
        <v>0.8096045254133919</v>
      </c>
      <c r="Z32" s="669">
        <v>0.65000002384185795</v>
      </c>
      <c r="AA32" s="669">
        <v>0</v>
      </c>
      <c r="AB32" s="646">
        <v>0.8096045254133919</v>
      </c>
      <c r="AC32" s="669">
        <v>0</v>
      </c>
      <c r="AD32" s="669">
        <v>0</v>
      </c>
      <c r="AE32" s="670">
        <v>0</v>
      </c>
      <c r="AF32" s="645">
        <v>14.430448256878121</v>
      </c>
      <c r="AG32" s="669">
        <v>0</v>
      </c>
      <c r="AH32" s="646">
        <v>10.504857348425798</v>
      </c>
      <c r="AI32" s="669">
        <v>0</v>
      </c>
      <c r="AJ32" s="669">
        <v>0</v>
      </c>
      <c r="AK32" s="670">
        <v>0</v>
      </c>
      <c r="AL32" s="538" t="s">
        <v>516</v>
      </c>
      <c r="AM32" s="539" t="s">
        <v>474</v>
      </c>
      <c r="AN32" s="539" t="s">
        <v>419</v>
      </c>
      <c r="AO32" s="539" t="s">
        <v>420</v>
      </c>
      <c r="AP32" s="539" t="s">
        <v>583</v>
      </c>
    </row>
    <row r="33" spans="1:42" ht="12.75" customHeight="1" x14ac:dyDescent="0.3">
      <c r="A33" s="671"/>
      <c r="B33" s="537" t="s">
        <v>624</v>
      </c>
      <c r="C33" s="527" t="s">
        <v>625</v>
      </c>
      <c r="D33" s="666">
        <v>36221162</v>
      </c>
      <c r="E33" s="667">
        <v>28285301</v>
      </c>
      <c r="F33" s="667">
        <v>30884537.32</v>
      </c>
      <c r="G33" s="667">
        <v>30881957</v>
      </c>
      <c r="H33" s="644">
        <f t="shared" si="1"/>
        <v>2.2057868472885454E-2</v>
      </c>
      <c r="I33" s="786">
        <v>5570</v>
      </c>
      <c r="J33" s="667">
        <v>4416</v>
      </c>
      <c r="K33" s="667">
        <v>4649.6499999999996</v>
      </c>
      <c r="L33" s="667">
        <v>4486</v>
      </c>
      <c r="M33" s="644">
        <f t="shared" si="6"/>
        <v>1.6041507132996936E-2</v>
      </c>
      <c r="N33" s="668"/>
      <c r="O33" s="669"/>
      <c r="P33" s="669"/>
      <c r="Q33" s="669"/>
      <c r="R33" s="670"/>
      <c r="S33" s="672">
        <v>0</v>
      </c>
      <c r="T33" s="673">
        <v>0</v>
      </c>
      <c r="U33" s="668">
        <v>0</v>
      </c>
      <c r="V33" s="670">
        <v>0</v>
      </c>
      <c r="W33" s="668">
        <v>0</v>
      </c>
      <c r="X33" s="669">
        <v>0</v>
      </c>
      <c r="Y33" s="669">
        <v>0</v>
      </c>
      <c r="Z33" s="669">
        <v>0</v>
      </c>
      <c r="AA33" s="669">
        <v>0</v>
      </c>
      <c r="AB33" s="669">
        <v>0</v>
      </c>
      <c r="AC33" s="669">
        <v>0</v>
      </c>
      <c r="AD33" s="669">
        <v>0</v>
      </c>
      <c r="AE33" s="670">
        <v>0</v>
      </c>
      <c r="AF33" s="668">
        <v>0</v>
      </c>
      <c r="AG33" s="669">
        <v>0</v>
      </c>
      <c r="AH33" s="669">
        <v>0</v>
      </c>
      <c r="AI33" s="669">
        <v>0</v>
      </c>
      <c r="AJ33" s="669">
        <v>0</v>
      </c>
      <c r="AK33" s="670">
        <v>0</v>
      </c>
      <c r="AL33" s="538"/>
      <c r="AM33" s="539"/>
      <c r="AN33" s="539"/>
      <c r="AO33" s="539"/>
      <c r="AP33" s="539"/>
    </row>
    <row r="34" spans="1:42" ht="12.75" customHeight="1" x14ac:dyDescent="0.3">
      <c r="A34" s="671"/>
      <c r="B34" s="536"/>
      <c r="C34" s="523" t="s">
        <v>557</v>
      </c>
      <c r="D34" s="634">
        <f>SUM(D35:D44)</f>
        <v>32869969.671923958</v>
      </c>
      <c r="E34" s="634">
        <f t="shared" ref="E34:G34" si="27">SUM(E35:E44)</f>
        <v>12335248.42052</v>
      </c>
      <c r="F34" s="634">
        <f t="shared" si="27"/>
        <v>28619095.408599999</v>
      </c>
      <c r="G34" s="634">
        <f t="shared" si="27"/>
        <v>16765578.339591</v>
      </c>
      <c r="H34" s="636">
        <f t="shared" si="1"/>
        <v>1.1975048144991444E-2</v>
      </c>
      <c r="I34" s="784">
        <f t="shared" ref="I34" si="28">SUM(I35:I44)</f>
        <v>6051.5722362934757</v>
      </c>
      <c r="J34" s="634">
        <f t="shared" ref="J34" si="29">SUM(J35:J44)</f>
        <v>1952.7906695999989</v>
      </c>
      <c r="K34" s="634">
        <f t="shared" ref="K34" si="30">SUM(K35:K44)</f>
        <v>4198.9740130000009</v>
      </c>
      <c r="L34" s="634">
        <f t="shared" ref="L34" si="31">SUM(L35:L44)</f>
        <v>1784.0886361600001</v>
      </c>
      <c r="M34" s="636">
        <f t="shared" si="6"/>
        <v>6.3797304018857366E-3</v>
      </c>
      <c r="N34" s="637">
        <v>0</v>
      </c>
      <c r="O34" s="638">
        <v>0</v>
      </c>
      <c r="P34" s="638">
        <v>0</v>
      </c>
      <c r="Q34" s="638">
        <v>0</v>
      </c>
      <c r="R34" s="639">
        <v>0</v>
      </c>
      <c r="S34" s="640">
        <f>AVERAGE(S36:S38,S40,S42:S43)</f>
        <v>0.78445776034494574</v>
      </c>
      <c r="T34" s="641"/>
      <c r="U34" s="640"/>
      <c r="V34" s="641"/>
      <c r="W34" s="637"/>
      <c r="X34" s="638"/>
      <c r="Y34" s="638"/>
      <c r="Z34" s="638"/>
      <c r="AA34" s="638"/>
      <c r="AB34" s="638"/>
      <c r="AC34" s="638"/>
      <c r="AD34" s="638"/>
      <c r="AE34" s="639"/>
      <c r="AF34" s="637"/>
      <c r="AG34" s="638"/>
      <c r="AH34" s="638"/>
      <c r="AI34" s="638"/>
      <c r="AJ34" s="638"/>
      <c r="AK34" s="639"/>
      <c r="AL34" s="524"/>
      <c r="AM34" s="525"/>
      <c r="AN34" s="535"/>
      <c r="AO34" s="535"/>
      <c r="AP34" s="525"/>
    </row>
    <row r="35" spans="1:42" ht="12.75" customHeight="1" x14ac:dyDescent="0.3">
      <c r="A35" s="671"/>
      <c r="B35" s="537" t="s">
        <v>558</v>
      </c>
      <c r="C35" s="527" t="s">
        <v>23</v>
      </c>
      <c r="D35" s="666">
        <v>0</v>
      </c>
      <c r="E35" s="667">
        <v>0</v>
      </c>
      <c r="F35" s="667">
        <v>0</v>
      </c>
      <c r="G35" s="667">
        <v>0</v>
      </c>
      <c r="H35" s="644">
        <f t="shared" si="1"/>
        <v>0</v>
      </c>
      <c r="I35" s="786">
        <v>0</v>
      </c>
      <c r="J35" s="667">
        <v>0</v>
      </c>
      <c r="K35" s="667">
        <v>0</v>
      </c>
      <c r="L35" s="667">
        <v>0</v>
      </c>
      <c r="M35" s="644">
        <f t="shared" si="6"/>
        <v>0</v>
      </c>
      <c r="N35" s="668">
        <v>0</v>
      </c>
      <c r="O35" s="669">
        <v>0</v>
      </c>
      <c r="P35" s="669">
        <v>0</v>
      </c>
      <c r="Q35" s="669">
        <v>0</v>
      </c>
      <c r="R35" s="670">
        <v>0</v>
      </c>
      <c r="S35" s="648">
        <v>0</v>
      </c>
      <c r="T35" s="649">
        <v>0</v>
      </c>
      <c r="U35" s="648">
        <v>0</v>
      </c>
      <c r="V35" s="649">
        <v>0</v>
      </c>
      <c r="W35" s="668">
        <v>0</v>
      </c>
      <c r="X35" s="669">
        <v>0</v>
      </c>
      <c r="Y35" s="669">
        <v>0</v>
      </c>
      <c r="Z35" s="669">
        <v>0</v>
      </c>
      <c r="AA35" s="669">
        <v>0</v>
      </c>
      <c r="AB35" s="646">
        <v>0</v>
      </c>
      <c r="AC35" s="669">
        <v>0</v>
      </c>
      <c r="AD35" s="669">
        <v>0</v>
      </c>
      <c r="AE35" s="670">
        <v>0</v>
      </c>
      <c r="AF35" s="668">
        <v>0</v>
      </c>
      <c r="AG35" s="669">
        <v>0</v>
      </c>
      <c r="AH35" s="669">
        <v>0</v>
      </c>
      <c r="AI35" s="669">
        <v>0</v>
      </c>
      <c r="AJ35" s="669">
        <v>0</v>
      </c>
      <c r="AK35" s="670">
        <v>0</v>
      </c>
      <c r="AL35" s="538" t="s">
        <v>516</v>
      </c>
      <c r="AM35" s="539" t="s">
        <v>244</v>
      </c>
      <c r="AN35" s="539" t="s">
        <v>434</v>
      </c>
      <c r="AO35" s="539" t="s">
        <v>431</v>
      </c>
      <c r="AP35" s="539" t="s">
        <v>559</v>
      </c>
    </row>
    <row r="36" spans="1:42" ht="12.75" customHeight="1" x14ac:dyDescent="0.3">
      <c r="A36" s="671"/>
      <c r="B36" s="537" t="s">
        <v>560</v>
      </c>
      <c r="C36" s="527" t="s">
        <v>24</v>
      </c>
      <c r="D36" s="666">
        <v>8038998.9000000022</v>
      </c>
      <c r="E36" s="667">
        <v>1247613.8400000001</v>
      </c>
      <c r="F36" s="667">
        <v>7950221.25</v>
      </c>
      <c r="G36" s="667">
        <v>2427066.9592400002</v>
      </c>
      <c r="H36" s="644">
        <f t="shared" si="1"/>
        <v>1.7335664239737775E-3</v>
      </c>
      <c r="I36" s="786">
        <v>800.09999999999991</v>
      </c>
      <c r="J36" s="667">
        <v>150.18299999999999</v>
      </c>
      <c r="K36" s="667">
        <v>693.7496000000001</v>
      </c>
      <c r="L36" s="667">
        <v>217.77666805999999</v>
      </c>
      <c r="M36" s="644">
        <f t="shared" si="6"/>
        <v>7.7874854527079705E-4</v>
      </c>
      <c r="N36" s="668">
        <v>0</v>
      </c>
      <c r="O36" s="669">
        <v>0</v>
      </c>
      <c r="P36" s="669">
        <v>0</v>
      </c>
      <c r="Q36" s="669">
        <v>0</v>
      </c>
      <c r="R36" s="670">
        <v>0</v>
      </c>
      <c r="S36" s="648">
        <v>0.455949586282966</v>
      </c>
      <c r="T36" s="649">
        <v>1.6928911490220699</v>
      </c>
      <c r="U36" s="648">
        <v>0.64395994741501605</v>
      </c>
      <c r="V36" s="649">
        <v>2.6490498779627298</v>
      </c>
      <c r="W36" s="645">
        <v>0.8406939610021319</v>
      </c>
      <c r="X36" s="669">
        <v>0</v>
      </c>
      <c r="Y36" s="646">
        <v>0.68595230073887759</v>
      </c>
      <c r="Z36" s="669">
        <v>0.8406939610021319</v>
      </c>
      <c r="AA36" s="669">
        <v>0</v>
      </c>
      <c r="AB36" s="646">
        <v>0.68595230073887759</v>
      </c>
      <c r="AC36" s="669">
        <v>0</v>
      </c>
      <c r="AD36" s="669">
        <v>0</v>
      </c>
      <c r="AE36" s="670">
        <v>0</v>
      </c>
      <c r="AF36" s="645">
        <v>8.47771773612258</v>
      </c>
      <c r="AG36" s="669">
        <v>0</v>
      </c>
      <c r="AH36" s="646">
        <v>12.070315517178875</v>
      </c>
      <c r="AI36" s="669">
        <v>0</v>
      </c>
      <c r="AJ36" s="669">
        <v>0</v>
      </c>
      <c r="AK36" s="670">
        <v>0</v>
      </c>
      <c r="AL36" s="538" t="s">
        <v>516</v>
      </c>
      <c r="AM36" s="539" t="s">
        <v>244</v>
      </c>
      <c r="AN36" s="539" t="s">
        <v>419</v>
      </c>
      <c r="AO36" s="539" t="s">
        <v>420</v>
      </c>
      <c r="AP36" s="539" t="s">
        <v>559</v>
      </c>
    </row>
    <row r="37" spans="1:42" ht="12.75" customHeight="1" x14ac:dyDescent="0.3">
      <c r="A37" s="671"/>
      <c r="B37" s="537" t="s">
        <v>561</v>
      </c>
      <c r="C37" s="527" t="s">
        <v>25</v>
      </c>
      <c r="D37" s="666">
        <v>7034000.4000000004</v>
      </c>
      <c r="E37" s="667">
        <v>4069027.7250799998</v>
      </c>
      <c r="F37" s="667">
        <v>5231936.2399999993</v>
      </c>
      <c r="G37" s="667">
        <v>2652656.8055799999</v>
      </c>
      <c r="H37" s="644">
        <f t="shared" si="1"/>
        <v>1.8946971178409489E-3</v>
      </c>
      <c r="I37" s="786">
        <v>800.09999999999991</v>
      </c>
      <c r="J37" s="667">
        <v>749.87322199999903</v>
      </c>
      <c r="K37" s="667">
        <v>1020.1800000000001</v>
      </c>
      <c r="L37" s="667">
        <v>301.84113406</v>
      </c>
      <c r="M37" s="644">
        <f t="shared" si="6"/>
        <v>1.0793550390225978E-3</v>
      </c>
      <c r="N37" s="668">
        <v>0</v>
      </c>
      <c r="O37" s="669">
        <v>0</v>
      </c>
      <c r="P37" s="669">
        <v>0</v>
      </c>
      <c r="Q37" s="669">
        <v>0</v>
      </c>
      <c r="R37" s="670">
        <v>0</v>
      </c>
      <c r="S37" s="648">
        <v>0.64230345759280605</v>
      </c>
      <c r="T37" s="649">
        <v>1.42883087884017</v>
      </c>
      <c r="U37" s="648">
        <v>1.52133639662695</v>
      </c>
      <c r="V37" s="649">
        <v>2.5808774646449999</v>
      </c>
      <c r="W37" s="645">
        <v>0.84108714972494647</v>
      </c>
      <c r="X37" s="669">
        <v>0</v>
      </c>
      <c r="Y37" s="646">
        <v>0.67693749266545111</v>
      </c>
      <c r="Z37" s="669">
        <v>0.84108714972494647</v>
      </c>
      <c r="AA37" s="669">
        <v>0</v>
      </c>
      <c r="AB37" s="646">
        <v>0.67693749266545111</v>
      </c>
      <c r="AC37" s="669">
        <v>0</v>
      </c>
      <c r="AD37" s="669">
        <v>0</v>
      </c>
      <c r="AE37" s="670">
        <v>0</v>
      </c>
      <c r="AF37" s="645">
        <v>8.9888330722742609</v>
      </c>
      <c r="AG37" s="669">
        <v>0</v>
      </c>
      <c r="AH37" s="646">
        <v>11.5400067072345</v>
      </c>
      <c r="AI37" s="669">
        <v>0</v>
      </c>
      <c r="AJ37" s="669">
        <v>0</v>
      </c>
      <c r="AK37" s="670">
        <v>0</v>
      </c>
      <c r="AL37" s="538" t="s">
        <v>516</v>
      </c>
      <c r="AM37" s="539" t="s">
        <v>244</v>
      </c>
      <c r="AN37" s="539" t="s">
        <v>419</v>
      </c>
      <c r="AO37" s="539" t="s">
        <v>420</v>
      </c>
      <c r="AP37" s="539" t="s">
        <v>559</v>
      </c>
    </row>
    <row r="38" spans="1:42" ht="12.75" customHeight="1" x14ac:dyDescent="0.3">
      <c r="A38" s="671"/>
      <c r="B38" s="537" t="s">
        <v>562</v>
      </c>
      <c r="C38" s="527" t="s">
        <v>26</v>
      </c>
      <c r="D38" s="666">
        <v>5740382.0059409747</v>
      </c>
      <c r="E38" s="667">
        <v>3456917.5134399999</v>
      </c>
      <c r="F38" s="667">
        <v>5660503.6399999997</v>
      </c>
      <c r="G38" s="667">
        <v>3258844.5</v>
      </c>
      <c r="H38" s="644">
        <f t="shared" si="1"/>
        <v>2.3276751325891089E-3</v>
      </c>
      <c r="I38" s="786">
        <v>713.99528679430728</v>
      </c>
      <c r="J38" s="667">
        <v>402.7409384</v>
      </c>
      <c r="K38" s="667">
        <v>512.81799999999998</v>
      </c>
      <c r="L38" s="667">
        <v>213.55482348000001</v>
      </c>
      <c r="M38" s="644">
        <f t="shared" si="6"/>
        <v>7.6365163266614393E-4</v>
      </c>
      <c r="N38" s="668">
        <v>0</v>
      </c>
      <c r="O38" s="669">
        <v>0</v>
      </c>
      <c r="P38" s="669">
        <v>0</v>
      </c>
      <c r="Q38" s="669">
        <v>0</v>
      </c>
      <c r="R38" s="670">
        <v>0</v>
      </c>
      <c r="S38" s="648">
        <v>0.54553641867520697</v>
      </c>
      <c r="T38" s="649">
        <v>1.4508654813967701</v>
      </c>
      <c r="U38" s="648">
        <v>1.0942160779179699</v>
      </c>
      <c r="V38" s="649">
        <v>2.3628495632787598</v>
      </c>
      <c r="W38" s="645">
        <v>0.75231057924014277</v>
      </c>
      <c r="X38" s="669">
        <v>0</v>
      </c>
      <c r="Y38" s="646">
        <v>0.72551111373890653</v>
      </c>
      <c r="Z38" s="669">
        <v>0.75231057924014277</v>
      </c>
      <c r="AA38" s="669">
        <v>0</v>
      </c>
      <c r="AB38" s="646">
        <v>0.72551111373890653</v>
      </c>
      <c r="AC38" s="669">
        <v>0</v>
      </c>
      <c r="AD38" s="669">
        <v>0</v>
      </c>
      <c r="AE38" s="670">
        <v>0</v>
      </c>
      <c r="AF38" s="645">
        <v>7.7856905841867245</v>
      </c>
      <c r="AG38" s="669">
        <v>0</v>
      </c>
      <c r="AH38" s="646">
        <v>10.843967839651341</v>
      </c>
      <c r="AI38" s="669">
        <v>0</v>
      </c>
      <c r="AJ38" s="669">
        <v>0</v>
      </c>
      <c r="AK38" s="670">
        <v>0</v>
      </c>
      <c r="AL38" s="538" t="s">
        <v>516</v>
      </c>
      <c r="AM38" s="539" t="s">
        <v>244</v>
      </c>
      <c r="AN38" s="539" t="s">
        <v>419</v>
      </c>
      <c r="AO38" s="539" t="s">
        <v>420</v>
      </c>
      <c r="AP38" s="539" t="s">
        <v>559</v>
      </c>
    </row>
    <row r="39" spans="1:42" ht="12.75" customHeight="1" x14ac:dyDescent="0.3">
      <c r="A39" s="671"/>
      <c r="B39" s="537" t="s">
        <v>563</v>
      </c>
      <c r="C39" s="527" t="s">
        <v>33</v>
      </c>
      <c r="D39" s="666">
        <v>2341319.7600000002</v>
      </c>
      <c r="E39" s="667">
        <v>0</v>
      </c>
      <c r="F39" s="667">
        <v>2536330.3059999999</v>
      </c>
      <c r="G39" s="667">
        <v>0</v>
      </c>
      <c r="H39" s="644">
        <f t="shared" ref="H39:H70" si="32">+G39/$G$123</f>
        <v>0</v>
      </c>
      <c r="I39" s="786">
        <v>598.10400000000004</v>
      </c>
      <c r="J39" s="667">
        <v>0</v>
      </c>
      <c r="K39" s="667">
        <v>507.50800000000004</v>
      </c>
      <c r="L39" s="667">
        <v>0</v>
      </c>
      <c r="M39" s="644">
        <f t="shared" ref="M39:M70" si="33">+L39/$L$123</f>
        <v>0</v>
      </c>
      <c r="N39" s="668">
        <v>0</v>
      </c>
      <c r="O39" s="669">
        <v>0</v>
      </c>
      <c r="P39" s="669">
        <v>0</v>
      </c>
      <c r="Q39" s="669">
        <v>0</v>
      </c>
      <c r="R39" s="670">
        <v>0</v>
      </c>
      <c r="S39" s="648">
        <v>0</v>
      </c>
      <c r="T39" s="649">
        <v>0</v>
      </c>
      <c r="U39" s="648">
        <v>0</v>
      </c>
      <c r="V39" s="649">
        <v>0</v>
      </c>
      <c r="W39" s="668">
        <v>0</v>
      </c>
      <c r="X39" s="669">
        <v>0</v>
      </c>
      <c r="Y39" s="669">
        <v>0</v>
      </c>
      <c r="Z39" s="669">
        <v>0</v>
      </c>
      <c r="AA39" s="669">
        <v>0</v>
      </c>
      <c r="AB39" s="646">
        <v>0</v>
      </c>
      <c r="AC39" s="669">
        <v>0</v>
      </c>
      <c r="AD39" s="669">
        <v>0</v>
      </c>
      <c r="AE39" s="670">
        <v>0</v>
      </c>
      <c r="AF39" s="645">
        <v>0</v>
      </c>
      <c r="AG39" s="669">
        <v>0</v>
      </c>
      <c r="AH39" s="646">
        <v>0</v>
      </c>
      <c r="AI39" s="669">
        <v>0</v>
      </c>
      <c r="AJ39" s="669">
        <v>0</v>
      </c>
      <c r="AK39" s="670">
        <v>0</v>
      </c>
      <c r="AL39" s="538" t="s">
        <v>516</v>
      </c>
      <c r="AM39" s="539" t="s">
        <v>244</v>
      </c>
      <c r="AN39" s="539" t="s">
        <v>419</v>
      </c>
      <c r="AO39" s="539" t="s">
        <v>431</v>
      </c>
      <c r="AP39" s="539" t="s">
        <v>559</v>
      </c>
    </row>
    <row r="40" spans="1:42" ht="12.75" customHeight="1" x14ac:dyDescent="0.3">
      <c r="A40" s="671"/>
      <c r="B40" s="537" t="s">
        <v>564</v>
      </c>
      <c r="C40" s="527" t="s">
        <v>34</v>
      </c>
      <c r="D40" s="666">
        <v>6692532.2999999998</v>
      </c>
      <c r="E40" s="667">
        <v>1476509.58</v>
      </c>
      <c r="F40" s="667">
        <v>2636941.1850000001</v>
      </c>
      <c r="G40" s="667">
        <v>0</v>
      </c>
      <c r="H40" s="644">
        <f t="shared" si="32"/>
        <v>0</v>
      </c>
      <c r="I40" s="786">
        <v>2489.8995</v>
      </c>
      <c r="J40" s="667">
        <v>305.25299999999999</v>
      </c>
      <c r="K40" s="667">
        <v>694.31949999999995</v>
      </c>
      <c r="L40" s="667">
        <v>0</v>
      </c>
      <c r="M40" s="644">
        <f t="shared" si="33"/>
        <v>0</v>
      </c>
      <c r="N40" s="668">
        <v>0</v>
      </c>
      <c r="O40" s="669">
        <v>0</v>
      </c>
      <c r="P40" s="669">
        <v>0</v>
      </c>
      <c r="Q40" s="669">
        <v>0</v>
      </c>
      <c r="R40" s="670">
        <v>0</v>
      </c>
      <c r="S40" s="648">
        <v>0.74911579953132101</v>
      </c>
      <c r="T40" s="649">
        <v>0</v>
      </c>
      <c r="U40" s="648">
        <v>2.1699158323899002</v>
      </c>
      <c r="V40" s="649">
        <v>0</v>
      </c>
      <c r="W40" s="645">
        <v>0.78609286865746575</v>
      </c>
      <c r="X40" s="669">
        <v>0</v>
      </c>
      <c r="Y40" s="669">
        <v>0</v>
      </c>
      <c r="Z40" s="669">
        <v>0.78609286865746575</v>
      </c>
      <c r="AA40" s="669">
        <v>0</v>
      </c>
      <c r="AB40" s="646">
        <v>0</v>
      </c>
      <c r="AC40" s="669">
        <v>0</v>
      </c>
      <c r="AD40" s="669">
        <v>0</v>
      </c>
      <c r="AE40" s="670">
        <v>0</v>
      </c>
      <c r="AF40" s="645">
        <v>16.252530985948631</v>
      </c>
      <c r="AG40" s="669">
        <v>0</v>
      </c>
      <c r="AH40" s="646">
        <v>0</v>
      </c>
      <c r="AI40" s="669">
        <v>0</v>
      </c>
      <c r="AJ40" s="669">
        <v>0</v>
      </c>
      <c r="AK40" s="670">
        <v>0</v>
      </c>
      <c r="AL40" s="538" t="s">
        <v>516</v>
      </c>
      <c r="AM40" s="539" t="s">
        <v>244</v>
      </c>
      <c r="AN40" s="539" t="s">
        <v>419</v>
      </c>
      <c r="AO40" s="539" t="s">
        <v>431</v>
      </c>
      <c r="AP40" s="539" t="s">
        <v>559</v>
      </c>
    </row>
    <row r="41" spans="1:42" ht="12.75" customHeight="1" x14ac:dyDescent="0.3">
      <c r="A41" s="671"/>
      <c r="B41" s="537" t="s">
        <v>565</v>
      </c>
      <c r="C41" s="527" t="s">
        <v>566</v>
      </c>
      <c r="D41" s="666">
        <v>0</v>
      </c>
      <c r="E41" s="667">
        <v>0</v>
      </c>
      <c r="F41" s="667">
        <v>0</v>
      </c>
      <c r="G41" s="667">
        <v>0</v>
      </c>
      <c r="H41" s="644">
        <f t="shared" si="32"/>
        <v>0</v>
      </c>
      <c r="I41" s="786">
        <v>0</v>
      </c>
      <c r="J41" s="667">
        <v>0</v>
      </c>
      <c r="K41" s="667">
        <v>0</v>
      </c>
      <c r="L41" s="667">
        <v>0</v>
      </c>
      <c r="M41" s="644">
        <f t="shared" si="33"/>
        <v>0</v>
      </c>
      <c r="N41" s="668">
        <v>0</v>
      </c>
      <c r="O41" s="669">
        <v>0</v>
      </c>
      <c r="P41" s="669">
        <v>0</v>
      </c>
      <c r="Q41" s="669">
        <v>0</v>
      </c>
      <c r="R41" s="670">
        <v>0</v>
      </c>
      <c r="S41" s="648">
        <v>0</v>
      </c>
      <c r="T41" s="649">
        <v>0</v>
      </c>
      <c r="U41" s="648">
        <v>0</v>
      </c>
      <c r="V41" s="649">
        <v>0</v>
      </c>
      <c r="W41" s="668">
        <v>0</v>
      </c>
      <c r="X41" s="669">
        <v>0</v>
      </c>
      <c r="Y41" s="669">
        <v>0</v>
      </c>
      <c r="Z41" s="669">
        <v>0</v>
      </c>
      <c r="AA41" s="669">
        <v>0</v>
      </c>
      <c r="AB41" s="646">
        <v>0</v>
      </c>
      <c r="AC41" s="669">
        <v>0</v>
      </c>
      <c r="AD41" s="669">
        <v>0</v>
      </c>
      <c r="AE41" s="670">
        <v>0</v>
      </c>
      <c r="AF41" s="645">
        <v>0</v>
      </c>
      <c r="AG41" s="669">
        <v>0</v>
      </c>
      <c r="AH41" s="646">
        <v>0</v>
      </c>
      <c r="AI41" s="669">
        <v>0</v>
      </c>
      <c r="AJ41" s="669">
        <v>0</v>
      </c>
      <c r="AK41" s="670">
        <v>0</v>
      </c>
      <c r="AL41" s="538" t="s">
        <v>516</v>
      </c>
      <c r="AM41" s="539" t="s">
        <v>244</v>
      </c>
      <c r="AN41" s="539" t="s">
        <v>419</v>
      </c>
      <c r="AO41" s="539" t="s">
        <v>431</v>
      </c>
      <c r="AP41" s="539" t="s">
        <v>559</v>
      </c>
    </row>
    <row r="42" spans="1:42" ht="12.75" customHeight="1" x14ac:dyDescent="0.3">
      <c r="A42" s="671"/>
      <c r="B42" s="537" t="s">
        <v>567</v>
      </c>
      <c r="C42" s="527" t="s">
        <v>35</v>
      </c>
      <c r="D42" s="666">
        <v>1213736.305982979</v>
      </c>
      <c r="E42" s="667">
        <v>414885.60200000001</v>
      </c>
      <c r="F42" s="667">
        <v>660118.45760000008</v>
      </c>
      <c r="G42" s="667">
        <v>2924847.9517709999</v>
      </c>
      <c r="H42" s="644">
        <f t="shared" si="32"/>
        <v>2.0891134400372728E-3</v>
      </c>
      <c r="I42" s="786">
        <v>379.37344949916735</v>
      </c>
      <c r="J42" s="667">
        <v>145.65150919999999</v>
      </c>
      <c r="K42" s="667">
        <v>415.165413</v>
      </c>
      <c r="L42" s="667">
        <v>703.29101056000002</v>
      </c>
      <c r="M42" s="644">
        <f t="shared" si="33"/>
        <v>2.514901418294887E-3</v>
      </c>
      <c r="N42" s="668">
        <v>0</v>
      </c>
      <c r="O42" s="669">
        <v>0</v>
      </c>
      <c r="P42" s="669">
        <v>0</v>
      </c>
      <c r="Q42" s="669">
        <v>0</v>
      </c>
      <c r="R42" s="670">
        <v>0</v>
      </c>
      <c r="S42" s="648">
        <v>0.39018425268865398</v>
      </c>
      <c r="T42" s="649">
        <v>0.80383074776619001</v>
      </c>
      <c r="U42" s="648">
        <v>0.39540712689049101</v>
      </c>
      <c r="V42" s="649">
        <v>0.87992814514149298</v>
      </c>
      <c r="W42" s="645">
        <v>0.8661061528981765</v>
      </c>
      <c r="X42" s="669">
        <v>0</v>
      </c>
      <c r="Y42" s="646">
        <v>0.65000002384185818</v>
      </c>
      <c r="Z42" s="669">
        <v>0.8661061528981765</v>
      </c>
      <c r="AA42" s="669">
        <v>0</v>
      </c>
      <c r="AB42" s="646">
        <v>0.65000002384185818</v>
      </c>
      <c r="AC42" s="669">
        <v>0</v>
      </c>
      <c r="AD42" s="669">
        <v>0</v>
      </c>
      <c r="AE42" s="670">
        <v>0</v>
      </c>
      <c r="AF42" s="645">
        <v>11.233321251770027</v>
      </c>
      <c r="AG42" s="669">
        <v>0</v>
      </c>
      <c r="AH42" s="646">
        <v>10.038778085536492</v>
      </c>
      <c r="AI42" s="669">
        <v>0</v>
      </c>
      <c r="AJ42" s="669">
        <v>0</v>
      </c>
      <c r="AK42" s="670">
        <v>0</v>
      </c>
      <c r="AL42" s="538" t="s">
        <v>516</v>
      </c>
      <c r="AM42" s="539" t="s">
        <v>244</v>
      </c>
      <c r="AN42" s="539" t="s">
        <v>419</v>
      </c>
      <c r="AO42" s="539" t="s">
        <v>420</v>
      </c>
      <c r="AP42" s="539" t="s">
        <v>559</v>
      </c>
    </row>
    <row r="43" spans="1:42" ht="12.75" customHeight="1" x14ac:dyDescent="0.3">
      <c r="A43" s="671"/>
      <c r="B43" s="537" t="s">
        <v>568</v>
      </c>
      <c r="C43" s="527" t="s">
        <v>36</v>
      </c>
      <c r="D43" s="666">
        <v>1809000</v>
      </c>
      <c r="E43" s="667">
        <v>1670294.16</v>
      </c>
      <c r="F43" s="667">
        <v>3943044.3300000005</v>
      </c>
      <c r="G43" s="667">
        <v>5502162.1229999997</v>
      </c>
      <c r="H43" s="644">
        <f t="shared" si="32"/>
        <v>3.9299960305503364E-3</v>
      </c>
      <c r="I43" s="786">
        <v>270</v>
      </c>
      <c r="J43" s="667">
        <v>199.089</v>
      </c>
      <c r="K43" s="667">
        <v>355.23349999999999</v>
      </c>
      <c r="L43" s="667">
        <v>347.625</v>
      </c>
      <c r="M43" s="644">
        <f t="shared" si="33"/>
        <v>1.2430737666313107E-3</v>
      </c>
      <c r="N43" s="668">
        <v>0</v>
      </c>
      <c r="O43" s="669">
        <v>0</v>
      </c>
      <c r="P43" s="669">
        <v>0</v>
      </c>
      <c r="Q43" s="669">
        <v>0</v>
      </c>
      <c r="R43" s="670">
        <v>0</v>
      </c>
      <c r="S43" s="648">
        <v>1.92365704729872</v>
      </c>
      <c r="T43" s="649">
        <v>1.4543214028808999</v>
      </c>
      <c r="U43" s="648">
        <v>2.3137751156694799</v>
      </c>
      <c r="V43" s="649">
        <v>4.0897430280527498</v>
      </c>
      <c r="W43" s="645">
        <v>0.87863465348542558</v>
      </c>
      <c r="X43" s="669">
        <v>0</v>
      </c>
      <c r="Y43" s="646">
        <v>0.85</v>
      </c>
      <c r="Z43" s="669">
        <v>0.87863465348542558</v>
      </c>
      <c r="AA43" s="669">
        <v>0</v>
      </c>
      <c r="AB43" s="646">
        <v>0.85</v>
      </c>
      <c r="AC43" s="669">
        <v>0</v>
      </c>
      <c r="AD43" s="669">
        <v>0</v>
      </c>
      <c r="AE43" s="670">
        <v>0</v>
      </c>
      <c r="AF43" s="645">
        <v>8.2490249382180689</v>
      </c>
      <c r="AG43" s="669">
        <v>0</v>
      </c>
      <c r="AH43" s="646">
        <v>8</v>
      </c>
      <c r="AI43" s="669">
        <v>0</v>
      </c>
      <c r="AJ43" s="669">
        <v>0</v>
      </c>
      <c r="AK43" s="670">
        <v>0</v>
      </c>
      <c r="AL43" s="538" t="s">
        <v>516</v>
      </c>
      <c r="AM43" s="539" t="s">
        <v>244</v>
      </c>
      <c r="AN43" s="539" t="s">
        <v>419</v>
      </c>
      <c r="AO43" s="539" t="s">
        <v>420</v>
      </c>
      <c r="AP43" s="539" t="s">
        <v>559</v>
      </c>
    </row>
    <row r="44" spans="1:42" s="778" customFormat="1" ht="12.75" customHeight="1" x14ac:dyDescent="0.3">
      <c r="A44" s="768"/>
      <c r="B44" s="769" t="s">
        <v>515</v>
      </c>
      <c r="C44" s="531" t="s">
        <v>84</v>
      </c>
      <c r="D44" s="770">
        <v>0</v>
      </c>
      <c r="E44" s="771">
        <v>0</v>
      </c>
      <c r="F44" s="771">
        <v>0</v>
      </c>
      <c r="G44" s="771">
        <v>0</v>
      </c>
      <c r="H44" s="772">
        <f t="shared" si="32"/>
        <v>0</v>
      </c>
      <c r="I44" s="787">
        <v>0</v>
      </c>
      <c r="J44" s="771">
        <v>0</v>
      </c>
      <c r="K44" s="771">
        <v>0</v>
      </c>
      <c r="L44" s="771">
        <v>0</v>
      </c>
      <c r="M44" s="772">
        <f t="shared" si="33"/>
        <v>0</v>
      </c>
      <c r="N44" s="773">
        <v>0</v>
      </c>
      <c r="O44" s="774">
        <v>0</v>
      </c>
      <c r="P44" s="774">
        <v>0</v>
      </c>
      <c r="Q44" s="774">
        <v>0</v>
      </c>
      <c r="R44" s="775">
        <v>0</v>
      </c>
      <c r="S44" s="776">
        <v>0</v>
      </c>
      <c r="T44" s="777">
        <v>0</v>
      </c>
      <c r="U44" s="776">
        <v>0</v>
      </c>
      <c r="V44" s="777">
        <v>0</v>
      </c>
      <c r="W44" s="773">
        <v>0</v>
      </c>
      <c r="X44" s="774">
        <v>0</v>
      </c>
      <c r="Y44" s="774">
        <v>0</v>
      </c>
      <c r="Z44" s="774">
        <v>0</v>
      </c>
      <c r="AA44" s="774">
        <v>0</v>
      </c>
      <c r="AB44" s="774">
        <v>0</v>
      </c>
      <c r="AC44" s="774">
        <v>0</v>
      </c>
      <c r="AD44" s="774">
        <v>0</v>
      </c>
      <c r="AE44" s="775">
        <v>0</v>
      </c>
      <c r="AF44" s="773">
        <v>0</v>
      </c>
      <c r="AG44" s="774">
        <v>0</v>
      </c>
      <c r="AH44" s="774">
        <v>0</v>
      </c>
      <c r="AI44" s="774">
        <v>0</v>
      </c>
      <c r="AJ44" s="774">
        <v>0</v>
      </c>
      <c r="AK44" s="775">
        <v>0</v>
      </c>
      <c r="AL44" s="569" t="s">
        <v>516</v>
      </c>
      <c r="AM44" s="570" t="s">
        <v>267</v>
      </c>
      <c r="AN44" s="539" t="s">
        <v>434</v>
      </c>
      <c r="AO44" s="539" t="s">
        <v>431</v>
      </c>
      <c r="AP44" s="570" t="s">
        <v>517</v>
      </c>
    </row>
    <row r="45" spans="1:42" ht="12.75" customHeight="1" x14ac:dyDescent="0.3">
      <c r="A45" s="602"/>
      <c r="B45" s="522" t="s">
        <v>457</v>
      </c>
      <c r="C45" s="523" t="s">
        <v>458</v>
      </c>
      <c r="D45" s="634">
        <f>SUM(D46:D49)</f>
        <v>15019626.80533517</v>
      </c>
      <c r="E45" s="634">
        <f t="shared" ref="E45:G45" si="34">SUM(E46:E49)</f>
        <v>17183827.080365799</v>
      </c>
      <c r="F45" s="634">
        <f t="shared" si="34"/>
        <v>14926929.441184361</v>
      </c>
      <c r="G45" s="634">
        <f t="shared" si="34"/>
        <v>12536122.9450345</v>
      </c>
      <c r="H45" s="636">
        <f t="shared" si="32"/>
        <v>8.9541006446415446E-3</v>
      </c>
      <c r="I45" s="784">
        <f t="shared" ref="I45" si="35">SUM(I46:I49)</f>
        <v>2287.2110912810508</v>
      </c>
      <c r="J45" s="634">
        <f t="shared" ref="J45" si="36">SUM(J46:J49)</f>
        <v>2458.4540066</v>
      </c>
      <c r="K45" s="634">
        <f t="shared" ref="K45" si="37">SUM(K46:K49)</f>
        <v>1636.82731212</v>
      </c>
      <c r="L45" s="634">
        <f t="shared" ref="L45" si="38">SUM(L46:L49)</f>
        <v>1668.1218954712101</v>
      </c>
      <c r="M45" s="636">
        <f t="shared" si="33"/>
        <v>5.9650444237427077E-3</v>
      </c>
      <c r="N45" s="637">
        <v>0</v>
      </c>
      <c r="O45" s="638">
        <v>0</v>
      </c>
      <c r="P45" s="638">
        <v>0</v>
      </c>
      <c r="Q45" s="638">
        <v>0</v>
      </c>
      <c r="R45" s="639">
        <v>0</v>
      </c>
      <c r="S45" s="640">
        <f>AVERAGE(S47:S48)</f>
        <v>0.93300490916800261</v>
      </c>
      <c r="T45" s="641"/>
      <c r="U45" s="640"/>
      <c r="V45" s="641"/>
      <c r="W45" s="637"/>
      <c r="X45" s="638"/>
      <c r="Y45" s="638"/>
      <c r="Z45" s="638"/>
      <c r="AA45" s="638"/>
      <c r="AB45" s="638"/>
      <c r="AC45" s="638"/>
      <c r="AD45" s="638"/>
      <c r="AE45" s="639"/>
      <c r="AF45" s="637"/>
      <c r="AG45" s="638"/>
      <c r="AH45" s="638"/>
      <c r="AI45" s="638"/>
      <c r="AJ45" s="638"/>
      <c r="AK45" s="639"/>
      <c r="AL45" s="524" t="s">
        <v>416</v>
      </c>
      <c r="AM45" s="525" t="s">
        <v>267</v>
      </c>
      <c r="AN45" s="525"/>
      <c r="AO45" s="525"/>
      <c r="AP45" s="525" t="s">
        <v>459</v>
      </c>
    </row>
    <row r="46" spans="1:42" ht="12.75" customHeight="1" x14ac:dyDescent="0.25">
      <c r="A46" s="602"/>
      <c r="B46" s="508" t="s">
        <v>460</v>
      </c>
      <c r="C46" s="509" t="s">
        <v>78</v>
      </c>
      <c r="D46" s="642">
        <v>0</v>
      </c>
      <c r="E46" s="643">
        <v>0</v>
      </c>
      <c r="F46" s="643">
        <v>0</v>
      </c>
      <c r="G46" s="643">
        <v>0</v>
      </c>
      <c r="H46" s="644">
        <f t="shared" si="32"/>
        <v>0</v>
      </c>
      <c r="I46" s="785">
        <v>0</v>
      </c>
      <c r="J46" s="643">
        <v>0</v>
      </c>
      <c r="K46" s="643">
        <v>0</v>
      </c>
      <c r="L46" s="643">
        <v>0</v>
      </c>
      <c r="M46" s="644">
        <f t="shared" si="33"/>
        <v>0</v>
      </c>
      <c r="N46" s="645">
        <v>0</v>
      </c>
      <c r="O46" s="646">
        <v>0</v>
      </c>
      <c r="P46" s="646">
        <v>0</v>
      </c>
      <c r="Q46" s="646">
        <v>0</v>
      </c>
      <c r="R46" s="647">
        <v>0</v>
      </c>
      <c r="S46" s="648">
        <v>0</v>
      </c>
      <c r="T46" s="649">
        <v>0</v>
      </c>
      <c r="U46" s="648">
        <v>0</v>
      </c>
      <c r="V46" s="649">
        <v>0</v>
      </c>
      <c r="W46" s="645">
        <v>0</v>
      </c>
      <c r="X46" s="646">
        <v>0</v>
      </c>
      <c r="Y46" s="646">
        <v>0</v>
      </c>
      <c r="Z46" s="646">
        <v>0</v>
      </c>
      <c r="AA46" s="646">
        <v>0</v>
      </c>
      <c r="AB46" s="646">
        <v>0</v>
      </c>
      <c r="AC46" s="646">
        <v>0</v>
      </c>
      <c r="AD46" s="646">
        <v>0</v>
      </c>
      <c r="AE46" s="647">
        <v>0</v>
      </c>
      <c r="AF46" s="645">
        <v>0</v>
      </c>
      <c r="AG46" s="646">
        <v>0</v>
      </c>
      <c r="AH46" s="646">
        <v>0</v>
      </c>
      <c r="AI46" s="646">
        <v>0</v>
      </c>
      <c r="AJ46" s="646">
        <v>0</v>
      </c>
      <c r="AK46" s="647">
        <v>0</v>
      </c>
      <c r="AL46" s="514" t="s">
        <v>416</v>
      </c>
      <c r="AM46" s="515" t="s">
        <v>267</v>
      </c>
      <c r="AN46" s="515" t="s">
        <v>434</v>
      </c>
      <c r="AO46" s="515" t="s">
        <v>420</v>
      </c>
      <c r="AP46" s="515" t="s">
        <v>421</v>
      </c>
    </row>
    <row r="47" spans="1:42" ht="12.75" customHeight="1" x14ac:dyDescent="0.25">
      <c r="A47" s="602"/>
      <c r="B47" s="508" t="s">
        <v>461</v>
      </c>
      <c r="C47" s="509" t="s">
        <v>16</v>
      </c>
      <c r="D47" s="642">
        <v>11482199.797712415</v>
      </c>
      <c r="E47" s="643">
        <v>15379376.373</v>
      </c>
      <c r="F47" s="643">
        <v>12886105.489</v>
      </c>
      <c r="G47" s="643">
        <v>11107044.327913901</v>
      </c>
      <c r="H47" s="644">
        <f t="shared" si="32"/>
        <v>7.9333613121614424E-3</v>
      </c>
      <c r="I47" s="785">
        <v>1495.2790375730758</v>
      </c>
      <c r="J47" s="643">
        <v>1838.0250000000001</v>
      </c>
      <c r="K47" s="643">
        <v>1074.82</v>
      </c>
      <c r="L47" s="643">
        <v>1422.3419604712101</v>
      </c>
      <c r="M47" s="644">
        <f t="shared" si="33"/>
        <v>5.0861588730405178E-3</v>
      </c>
      <c r="N47" s="645">
        <v>0</v>
      </c>
      <c r="O47" s="646">
        <v>0</v>
      </c>
      <c r="P47" s="646">
        <v>0</v>
      </c>
      <c r="Q47" s="646">
        <v>0</v>
      </c>
      <c r="R47" s="647">
        <v>0</v>
      </c>
      <c r="S47" s="648">
        <v>1.1909638837030001</v>
      </c>
      <c r="T47" s="649">
        <v>0.82025119704268001</v>
      </c>
      <c r="U47" s="648">
        <v>2.9308978847229499</v>
      </c>
      <c r="V47" s="649">
        <v>2.4973672517884902</v>
      </c>
      <c r="W47" s="645">
        <v>0.75805100495060895</v>
      </c>
      <c r="X47" s="646">
        <v>0</v>
      </c>
      <c r="Y47" s="646">
        <v>0.71526151261978865</v>
      </c>
      <c r="Z47" s="646">
        <v>0.75805100495060895</v>
      </c>
      <c r="AA47" s="646">
        <v>0</v>
      </c>
      <c r="AB47" s="646">
        <v>0.71526151261978865</v>
      </c>
      <c r="AC47" s="646">
        <v>0</v>
      </c>
      <c r="AD47" s="646">
        <v>0</v>
      </c>
      <c r="AE47" s="647">
        <v>0</v>
      </c>
      <c r="AF47" s="645">
        <v>11.490205733004588</v>
      </c>
      <c r="AG47" s="646">
        <v>0</v>
      </c>
      <c r="AH47" s="646">
        <v>10.968305186560093</v>
      </c>
      <c r="AI47" s="646">
        <v>0</v>
      </c>
      <c r="AJ47" s="646">
        <v>0</v>
      </c>
      <c r="AK47" s="647">
        <v>0</v>
      </c>
      <c r="AL47" s="514" t="s">
        <v>416</v>
      </c>
      <c r="AM47" s="515" t="s">
        <v>267</v>
      </c>
      <c r="AN47" s="515" t="s">
        <v>419</v>
      </c>
      <c r="AO47" s="515" t="s">
        <v>420</v>
      </c>
      <c r="AP47" s="515" t="s">
        <v>445</v>
      </c>
    </row>
    <row r="48" spans="1:42" ht="12.75" customHeight="1" x14ac:dyDescent="0.25">
      <c r="A48" s="602"/>
      <c r="B48" s="508" t="s">
        <v>462</v>
      </c>
      <c r="C48" s="509" t="s">
        <v>17</v>
      </c>
      <c r="D48" s="642">
        <v>3537427.0076227537</v>
      </c>
      <c r="E48" s="643">
        <v>1804450.7073657999</v>
      </c>
      <c r="F48" s="643">
        <v>2040823.95218436</v>
      </c>
      <c r="G48" s="643">
        <v>1429078.6171206001</v>
      </c>
      <c r="H48" s="644">
        <f t="shared" si="32"/>
        <v>1.0207393324801024E-3</v>
      </c>
      <c r="I48" s="785">
        <v>791.93205370797511</v>
      </c>
      <c r="J48" s="643">
        <v>620.42900659999998</v>
      </c>
      <c r="K48" s="643">
        <v>562.00731212000005</v>
      </c>
      <c r="L48" s="643">
        <v>245.77993499999999</v>
      </c>
      <c r="M48" s="644">
        <f t="shared" si="33"/>
        <v>8.7888555070218973E-4</v>
      </c>
      <c r="N48" s="645">
        <v>0</v>
      </c>
      <c r="O48" s="646">
        <v>0</v>
      </c>
      <c r="P48" s="646">
        <v>0</v>
      </c>
      <c r="Q48" s="646">
        <v>0</v>
      </c>
      <c r="R48" s="647">
        <v>0</v>
      </c>
      <c r="S48" s="648">
        <v>0.675045934633005</v>
      </c>
      <c r="T48" s="649">
        <v>0.76130771520039897</v>
      </c>
      <c r="U48" s="648">
        <v>0.81593459114455802</v>
      </c>
      <c r="V48" s="649">
        <v>0.89428204318175497</v>
      </c>
      <c r="W48" s="645">
        <v>0.69080691960051033</v>
      </c>
      <c r="X48" s="646">
        <v>0</v>
      </c>
      <c r="Y48" s="646">
        <v>0.66542294631796028</v>
      </c>
      <c r="Z48" s="646">
        <v>0.69080691960051033</v>
      </c>
      <c r="AA48" s="646">
        <v>0</v>
      </c>
      <c r="AB48" s="646">
        <v>0.66542294631796028</v>
      </c>
      <c r="AC48" s="646">
        <v>0</v>
      </c>
      <c r="AD48" s="646">
        <v>0</v>
      </c>
      <c r="AE48" s="647">
        <v>0</v>
      </c>
      <c r="AF48" s="645">
        <v>11.269284729695759</v>
      </c>
      <c r="AG48" s="646">
        <v>0</v>
      </c>
      <c r="AH48" s="646">
        <v>12.349515070861797</v>
      </c>
      <c r="AI48" s="646">
        <v>0</v>
      </c>
      <c r="AJ48" s="646">
        <v>0</v>
      </c>
      <c r="AK48" s="647">
        <v>0</v>
      </c>
      <c r="AL48" s="514" t="s">
        <v>426</v>
      </c>
      <c r="AM48" s="515" t="s">
        <v>267</v>
      </c>
      <c r="AN48" s="515" t="s">
        <v>419</v>
      </c>
      <c r="AO48" s="515" t="s">
        <v>420</v>
      </c>
      <c r="AP48" s="515" t="s">
        <v>447</v>
      </c>
    </row>
    <row r="49" spans="1:42" ht="12.75" customHeight="1" x14ac:dyDescent="0.25">
      <c r="A49" s="602"/>
      <c r="B49" s="508" t="s">
        <v>463</v>
      </c>
      <c r="C49" s="509" t="s">
        <v>79</v>
      </c>
      <c r="D49" s="642">
        <v>0</v>
      </c>
      <c r="E49" s="643">
        <v>0</v>
      </c>
      <c r="F49" s="643">
        <v>0</v>
      </c>
      <c r="G49" s="643">
        <v>0</v>
      </c>
      <c r="H49" s="644">
        <f t="shared" si="32"/>
        <v>0</v>
      </c>
      <c r="I49" s="785">
        <v>0</v>
      </c>
      <c r="J49" s="643">
        <v>0</v>
      </c>
      <c r="K49" s="643">
        <v>0</v>
      </c>
      <c r="L49" s="643">
        <v>0</v>
      </c>
      <c r="M49" s="644">
        <f t="shared" si="33"/>
        <v>0</v>
      </c>
      <c r="N49" s="645">
        <v>0</v>
      </c>
      <c r="O49" s="646">
        <v>0</v>
      </c>
      <c r="P49" s="646">
        <v>0</v>
      </c>
      <c r="Q49" s="646">
        <v>0</v>
      </c>
      <c r="R49" s="647">
        <v>0</v>
      </c>
      <c r="S49" s="648">
        <v>0</v>
      </c>
      <c r="T49" s="649">
        <v>0</v>
      </c>
      <c r="U49" s="648">
        <v>0</v>
      </c>
      <c r="V49" s="649">
        <v>0</v>
      </c>
      <c r="W49" s="645">
        <v>0</v>
      </c>
      <c r="X49" s="646">
        <v>0</v>
      </c>
      <c r="Y49" s="646">
        <v>0</v>
      </c>
      <c r="Z49" s="646">
        <v>0</v>
      </c>
      <c r="AA49" s="646">
        <v>0</v>
      </c>
      <c r="AB49" s="646">
        <v>0</v>
      </c>
      <c r="AC49" s="646">
        <v>0</v>
      </c>
      <c r="AD49" s="646">
        <v>0</v>
      </c>
      <c r="AE49" s="647">
        <v>0</v>
      </c>
      <c r="AF49" s="645">
        <v>0</v>
      </c>
      <c r="AG49" s="646">
        <v>0</v>
      </c>
      <c r="AH49" s="646">
        <v>0</v>
      </c>
      <c r="AI49" s="646">
        <v>0</v>
      </c>
      <c r="AJ49" s="646">
        <v>0</v>
      </c>
      <c r="AK49" s="647">
        <v>0</v>
      </c>
      <c r="AL49" s="514" t="s">
        <v>416</v>
      </c>
      <c r="AM49" s="515" t="s">
        <v>267</v>
      </c>
      <c r="AN49" s="515" t="s">
        <v>434</v>
      </c>
      <c r="AO49" s="515" t="s">
        <v>420</v>
      </c>
      <c r="AP49" s="515" t="s">
        <v>451</v>
      </c>
    </row>
    <row r="50" spans="1:42" ht="12.75" customHeight="1" x14ac:dyDescent="0.3">
      <c r="A50" s="671"/>
      <c r="B50" s="508"/>
      <c r="C50" s="523" t="s">
        <v>569</v>
      </c>
      <c r="D50" s="634">
        <f>SUM(D51:D58)</f>
        <v>92249431.153990254</v>
      </c>
      <c r="E50" s="634">
        <f t="shared" ref="E50:G50" si="39">SUM(E51:E58)</f>
        <v>74408277.413320005</v>
      </c>
      <c r="F50" s="634">
        <f t="shared" si="39"/>
        <v>100301791.75</v>
      </c>
      <c r="G50" s="634">
        <f t="shared" si="39"/>
        <v>88698930.062718272</v>
      </c>
      <c r="H50" s="636">
        <f t="shared" si="32"/>
        <v>6.3354447809415224E-2</v>
      </c>
      <c r="I50" s="784">
        <f t="shared" ref="I50" si="40">SUM(I51:I58)</f>
        <v>13731.346078075961</v>
      </c>
      <c r="J50" s="634">
        <f t="shared" ref="J50" si="41">SUM(J51:J58)</f>
        <v>9782.2775160000001</v>
      </c>
      <c r="K50" s="634">
        <f t="shared" ref="K50" si="42">SUM(K51:K58)</f>
        <v>12438.775500000002</v>
      </c>
      <c r="L50" s="634">
        <f t="shared" ref="L50" si="43">SUM(L51:L58)</f>
        <v>9454.5878505579658</v>
      </c>
      <c r="M50" s="636">
        <f t="shared" si="33"/>
        <v>3.3808702283609403E-2</v>
      </c>
      <c r="N50" s="637">
        <v>0</v>
      </c>
      <c r="O50" s="638">
        <v>0</v>
      </c>
      <c r="P50" s="638">
        <v>0</v>
      </c>
      <c r="Q50" s="638">
        <v>0</v>
      </c>
      <c r="R50" s="639">
        <v>0</v>
      </c>
      <c r="S50" s="640">
        <f>AVERAGE(S51:S57)</f>
        <v>1.3807523171284826</v>
      </c>
      <c r="T50" s="641"/>
      <c r="U50" s="640"/>
      <c r="V50" s="641"/>
      <c r="W50" s="637"/>
      <c r="X50" s="638"/>
      <c r="Y50" s="638"/>
      <c r="Z50" s="638"/>
      <c r="AA50" s="638"/>
      <c r="AB50" s="638"/>
      <c r="AC50" s="638"/>
      <c r="AD50" s="638"/>
      <c r="AE50" s="639"/>
      <c r="AF50" s="637"/>
      <c r="AG50" s="638"/>
      <c r="AH50" s="638"/>
      <c r="AI50" s="638"/>
      <c r="AJ50" s="638"/>
      <c r="AK50" s="639"/>
      <c r="AL50" s="524"/>
      <c r="AM50" s="525"/>
      <c r="AN50" s="535"/>
      <c r="AO50" s="535"/>
      <c r="AP50" s="525"/>
    </row>
    <row r="51" spans="1:42" ht="12.75" customHeight="1" x14ac:dyDescent="0.3">
      <c r="A51" s="671"/>
      <c r="B51" s="537" t="s">
        <v>570</v>
      </c>
      <c r="C51" s="527" t="s">
        <v>27</v>
      </c>
      <c r="D51" s="666">
        <v>18089100.000000004</v>
      </c>
      <c r="E51" s="667">
        <v>3862733.7</v>
      </c>
      <c r="F51" s="667">
        <v>19260458.050000001</v>
      </c>
      <c r="G51" s="667">
        <v>14599388.8843309</v>
      </c>
      <c r="H51" s="644">
        <f t="shared" si="32"/>
        <v>1.0427817116482512E-2</v>
      </c>
      <c r="I51" s="786">
        <v>2340.0000000000005</v>
      </c>
      <c r="J51" s="667">
        <v>476.49799999999999</v>
      </c>
      <c r="K51" s="667">
        <v>2419.4120000000003</v>
      </c>
      <c r="L51" s="667">
        <v>2170.5784915015402</v>
      </c>
      <c r="M51" s="644">
        <f t="shared" si="33"/>
        <v>7.7617811756914143E-3</v>
      </c>
      <c r="N51" s="668">
        <v>0</v>
      </c>
      <c r="O51" s="669">
        <v>0</v>
      </c>
      <c r="P51" s="669">
        <v>0</v>
      </c>
      <c r="Q51" s="669">
        <v>0</v>
      </c>
      <c r="R51" s="670">
        <v>0</v>
      </c>
      <c r="S51" s="648">
        <v>1.4049025800653501</v>
      </c>
      <c r="T51" s="649">
        <v>1.1687225801187699</v>
      </c>
      <c r="U51" s="648">
        <v>1.66626709081793</v>
      </c>
      <c r="V51" s="649">
        <v>2.99322592467073</v>
      </c>
      <c r="W51" s="645">
        <v>0.79138747077346538</v>
      </c>
      <c r="X51" s="669">
        <v>0</v>
      </c>
      <c r="Y51" s="646">
        <v>0.68080636673574835</v>
      </c>
      <c r="Z51" s="669">
        <v>0.79138747077346538</v>
      </c>
      <c r="AA51" s="669">
        <v>0</v>
      </c>
      <c r="AB51" s="646">
        <v>0.68080636673574835</v>
      </c>
      <c r="AC51" s="669">
        <v>0</v>
      </c>
      <c r="AD51" s="669">
        <v>0</v>
      </c>
      <c r="AE51" s="670">
        <v>0</v>
      </c>
      <c r="AF51" s="645">
        <v>9.351460202912774</v>
      </c>
      <c r="AG51" s="669">
        <v>0</v>
      </c>
      <c r="AH51" s="646">
        <v>11.779051129826364</v>
      </c>
      <c r="AI51" s="669">
        <v>0</v>
      </c>
      <c r="AJ51" s="669">
        <v>0</v>
      </c>
      <c r="AK51" s="670">
        <v>0</v>
      </c>
      <c r="AL51" s="538" t="s">
        <v>516</v>
      </c>
      <c r="AM51" s="539" t="s">
        <v>267</v>
      </c>
      <c r="AN51" s="539" t="s">
        <v>419</v>
      </c>
      <c r="AO51" s="539" t="s">
        <v>420</v>
      </c>
      <c r="AP51" s="539" t="s">
        <v>517</v>
      </c>
    </row>
    <row r="52" spans="1:42" ht="12.75" customHeight="1" x14ac:dyDescent="0.3">
      <c r="A52" s="671"/>
      <c r="B52" s="537" t="s">
        <v>571</v>
      </c>
      <c r="C52" s="527" t="s">
        <v>28</v>
      </c>
      <c r="D52" s="666">
        <v>18089100</v>
      </c>
      <c r="E52" s="667">
        <v>33683954.219999999</v>
      </c>
      <c r="F52" s="667">
        <v>15020990.66</v>
      </c>
      <c r="G52" s="667">
        <v>29969578.538721401</v>
      </c>
      <c r="H52" s="644">
        <f t="shared" si="32"/>
        <v>2.1406189432713971E-2</v>
      </c>
      <c r="I52" s="786">
        <v>3330</v>
      </c>
      <c r="J52" s="667">
        <v>4853.9610000000002</v>
      </c>
      <c r="K52" s="667">
        <v>2060.806</v>
      </c>
      <c r="L52" s="667">
        <v>3178.6142316229302</v>
      </c>
      <c r="M52" s="644">
        <f t="shared" si="33"/>
        <v>1.1366420612934643E-2</v>
      </c>
      <c r="N52" s="668">
        <v>0</v>
      </c>
      <c r="O52" s="669">
        <v>0</v>
      </c>
      <c r="P52" s="669">
        <v>0</v>
      </c>
      <c r="Q52" s="669">
        <v>0</v>
      </c>
      <c r="R52" s="670">
        <v>0</v>
      </c>
      <c r="S52" s="648">
        <v>2.09401955548614</v>
      </c>
      <c r="T52" s="649">
        <v>1.88058710851063</v>
      </c>
      <c r="U52" s="648">
        <v>4.1879681143485801</v>
      </c>
      <c r="V52" s="649">
        <v>3.4839105695809902</v>
      </c>
      <c r="W52" s="645">
        <v>0.79583604079133863</v>
      </c>
      <c r="X52" s="669">
        <v>0</v>
      </c>
      <c r="Y52" s="646">
        <v>0.74137143541853479</v>
      </c>
      <c r="Z52" s="669">
        <v>0.79583604079133863</v>
      </c>
      <c r="AA52" s="669">
        <v>0</v>
      </c>
      <c r="AB52" s="646">
        <v>0.74137143541853479</v>
      </c>
      <c r="AC52" s="669">
        <v>0</v>
      </c>
      <c r="AD52" s="669">
        <v>0</v>
      </c>
      <c r="AE52" s="670">
        <v>0</v>
      </c>
      <c r="AF52" s="645">
        <v>12.688823541817882</v>
      </c>
      <c r="AG52" s="669">
        <v>0</v>
      </c>
      <c r="AH52" s="646">
        <v>9.5411451708818529</v>
      </c>
      <c r="AI52" s="669">
        <v>0</v>
      </c>
      <c r="AJ52" s="669">
        <v>0</v>
      </c>
      <c r="AK52" s="670">
        <v>0</v>
      </c>
      <c r="AL52" s="538" t="s">
        <v>516</v>
      </c>
      <c r="AM52" s="539" t="s">
        <v>267</v>
      </c>
      <c r="AN52" s="539" t="s">
        <v>419</v>
      </c>
      <c r="AO52" s="539" t="s">
        <v>420</v>
      </c>
      <c r="AP52" s="539" t="s">
        <v>517</v>
      </c>
    </row>
    <row r="53" spans="1:42" ht="12.75" customHeight="1" x14ac:dyDescent="0.3">
      <c r="A53" s="671"/>
      <c r="B53" s="537" t="s">
        <v>572</v>
      </c>
      <c r="C53" s="527" t="s">
        <v>29</v>
      </c>
      <c r="D53" s="666">
        <v>22607431.153990258</v>
      </c>
      <c r="E53" s="667">
        <v>17225005.553320002</v>
      </c>
      <c r="F53" s="667">
        <v>44831693.68</v>
      </c>
      <c r="G53" s="667">
        <v>15581435.0974677</v>
      </c>
      <c r="H53" s="644">
        <f t="shared" si="32"/>
        <v>1.1129257320018406E-2</v>
      </c>
      <c r="I53" s="786">
        <v>3268.8460780759615</v>
      </c>
      <c r="J53" s="667">
        <v>2199.5145160000002</v>
      </c>
      <c r="K53" s="667">
        <v>5114.5740000000005</v>
      </c>
      <c r="L53" s="667">
        <v>998.44002365358199</v>
      </c>
      <c r="M53" s="644">
        <f t="shared" si="33"/>
        <v>3.5703260725163987E-3</v>
      </c>
      <c r="N53" s="668">
        <v>0</v>
      </c>
      <c r="O53" s="669">
        <v>0</v>
      </c>
      <c r="P53" s="669">
        <v>0</v>
      </c>
      <c r="Q53" s="669">
        <v>0</v>
      </c>
      <c r="R53" s="670">
        <v>0</v>
      </c>
      <c r="S53" s="648">
        <v>1.61773515023819</v>
      </c>
      <c r="T53" s="649">
        <v>1.2576675828364099</v>
      </c>
      <c r="U53" s="648">
        <v>2.1039679190887899</v>
      </c>
      <c r="V53" s="649">
        <v>1.7175929584487399</v>
      </c>
      <c r="W53" s="645">
        <v>0.74494189223482676</v>
      </c>
      <c r="X53" s="669">
        <v>0</v>
      </c>
      <c r="Y53" s="646">
        <v>0.6548020343801807</v>
      </c>
      <c r="Z53" s="669">
        <v>0.74494189223482676</v>
      </c>
      <c r="AA53" s="669">
        <v>0</v>
      </c>
      <c r="AB53" s="646">
        <v>0.6548020343801807</v>
      </c>
      <c r="AC53" s="669">
        <v>0</v>
      </c>
      <c r="AD53" s="669">
        <v>0</v>
      </c>
      <c r="AE53" s="670">
        <v>0</v>
      </c>
      <c r="AF53" s="645">
        <v>10.526103899156855</v>
      </c>
      <c r="AG53" s="669">
        <v>0</v>
      </c>
      <c r="AH53" s="646">
        <v>4.9513887980175335</v>
      </c>
      <c r="AI53" s="669">
        <v>0</v>
      </c>
      <c r="AJ53" s="669">
        <v>0</v>
      </c>
      <c r="AK53" s="670">
        <v>0</v>
      </c>
      <c r="AL53" s="538" t="s">
        <v>516</v>
      </c>
      <c r="AM53" s="539" t="s">
        <v>267</v>
      </c>
      <c r="AN53" s="539" t="s">
        <v>419</v>
      </c>
      <c r="AO53" s="539" t="s">
        <v>420</v>
      </c>
      <c r="AP53" s="539" t="s">
        <v>517</v>
      </c>
    </row>
    <row r="54" spans="1:42" ht="12.75" customHeight="1" x14ac:dyDescent="0.3">
      <c r="A54" s="671"/>
      <c r="B54" s="537" t="s">
        <v>573</v>
      </c>
      <c r="C54" s="527" t="s">
        <v>30</v>
      </c>
      <c r="D54" s="666">
        <v>10853100</v>
      </c>
      <c r="E54" s="667">
        <v>9466215.3900000006</v>
      </c>
      <c r="F54" s="667">
        <v>5650960.6799999997</v>
      </c>
      <c r="G54" s="667">
        <v>7784320.1458977303</v>
      </c>
      <c r="H54" s="644">
        <f t="shared" si="32"/>
        <v>5.5600592258141105E-3</v>
      </c>
      <c r="I54" s="786">
        <v>1529.9999999999995</v>
      </c>
      <c r="J54" s="667">
        <v>1022.0940000000001</v>
      </c>
      <c r="K54" s="667">
        <v>707.65</v>
      </c>
      <c r="L54" s="667">
        <v>611.29435525913402</v>
      </c>
      <c r="M54" s="644">
        <f t="shared" si="33"/>
        <v>2.1859301739300405E-3</v>
      </c>
      <c r="N54" s="668">
        <v>0</v>
      </c>
      <c r="O54" s="669">
        <v>0</v>
      </c>
      <c r="P54" s="669">
        <v>0</v>
      </c>
      <c r="Q54" s="669">
        <v>0</v>
      </c>
      <c r="R54" s="670">
        <v>0</v>
      </c>
      <c r="S54" s="648">
        <v>1.40768587333359</v>
      </c>
      <c r="T54" s="649">
        <v>1.52717229743432</v>
      </c>
      <c r="U54" s="648">
        <v>2.4285984584870102</v>
      </c>
      <c r="V54" s="649">
        <v>2.1416301656957599</v>
      </c>
      <c r="W54" s="645">
        <v>0.66644560485726489</v>
      </c>
      <c r="X54" s="669">
        <v>0</v>
      </c>
      <c r="Y54" s="646">
        <v>0.65800751503334609</v>
      </c>
      <c r="Z54" s="669">
        <v>0.66644560485726489</v>
      </c>
      <c r="AA54" s="669">
        <v>0</v>
      </c>
      <c r="AB54" s="646">
        <v>0.65800751503334609</v>
      </c>
      <c r="AC54" s="669">
        <v>0</v>
      </c>
      <c r="AD54" s="669">
        <v>0</v>
      </c>
      <c r="AE54" s="670">
        <v>0</v>
      </c>
      <c r="AF54" s="645">
        <v>14.605999439761327</v>
      </c>
      <c r="AG54" s="669">
        <v>0</v>
      </c>
      <c r="AH54" s="646">
        <v>10.651225006284831</v>
      </c>
      <c r="AI54" s="669">
        <v>0</v>
      </c>
      <c r="AJ54" s="669">
        <v>0</v>
      </c>
      <c r="AK54" s="670">
        <v>0</v>
      </c>
      <c r="AL54" s="538" t="s">
        <v>516</v>
      </c>
      <c r="AM54" s="539" t="s">
        <v>267</v>
      </c>
      <c r="AN54" s="539" t="s">
        <v>419</v>
      </c>
      <c r="AO54" s="539" t="s">
        <v>420</v>
      </c>
      <c r="AP54" s="539" t="s">
        <v>517</v>
      </c>
    </row>
    <row r="55" spans="1:42" ht="12.75" customHeight="1" x14ac:dyDescent="0.3">
      <c r="A55" s="671"/>
      <c r="B55" s="537" t="s">
        <v>574</v>
      </c>
      <c r="C55" s="527" t="s">
        <v>31</v>
      </c>
      <c r="D55" s="666">
        <v>4521600</v>
      </c>
      <c r="E55" s="667">
        <v>1291109.67</v>
      </c>
      <c r="F55" s="667">
        <v>10147491.719999999</v>
      </c>
      <c r="G55" s="667">
        <v>9061967.2131147496</v>
      </c>
      <c r="H55" s="644">
        <f t="shared" si="32"/>
        <v>6.4726364618824346E-3</v>
      </c>
      <c r="I55" s="786">
        <v>549</v>
      </c>
      <c r="J55" s="667">
        <v>178.83</v>
      </c>
      <c r="K55" s="667">
        <v>1207.6410000000001</v>
      </c>
      <c r="L55" s="667">
        <v>535.03981264637002</v>
      </c>
      <c r="M55" s="644">
        <f t="shared" si="33"/>
        <v>1.9132512195729132E-3</v>
      </c>
      <c r="N55" s="668">
        <v>0</v>
      </c>
      <c r="O55" s="669">
        <v>0</v>
      </c>
      <c r="P55" s="669">
        <v>0</v>
      </c>
      <c r="Q55" s="669">
        <v>0</v>
      </c>
      <c r="R55" s="670">
        <v>0</v>
      </c>
      <c r="S55" s="648">
        <v>0.83986423936472598</v>
      </c>
      <c r="T55" s="649">
        <v>1.23939201785242</v>
      </c>
      <c r="U55" s="648">
        <v>0.96404114479381198</v>
      </c>
      <c r="V55" s="649">
        <v>1.6716958089007501</v>
      </c>
      <c r="W55" s="645">
        <v>0.75861422362666064</v>
      </c>
      <c r="X55" s="669">
        <v>0</v>
      </c>
      <c r="Y55" s="646">
        <v>0.65000002384185773</v>
      </c>
      <c r="Z55" s="669">
        <v>0.75861422362666064</v>
      </c>
      <c r="AA55" s="669">
        <v>0</v>
      </c>
      <c r="AB55" s="646">
        <v>0.65000002384185773</v>
      </c>
      <c r="AC55" s="669">
        <v>0</v>
      </c>
      <c r="AD55" s="669">
        <v>0</v>
      </c>
      <c r="AE55" s="670">
        <v>0</v>
      </c>
      <c r="AF55" s="645">
        <v>10.878319043183989</v>
      </c>
      <c r="AG55" s="669">
        <v>0</v>
      </c>
      <c r="AH55" s="646">
        <v>5.5242591989579921</v>
      </c>
      <c r="AI55" s="669">
        <v>0</v>
      </c>
      <c r="AJ55" s="669">
        <v>0</v>
      </c>
      <c r="AK55" s="670">
        <v>0</v>
      </c>
      <c r="AL55" s="538" t="s">
        <v>516</v>
      </c>
      <c r="AM55" s="539" t="s">
        <v>267</v>
      </c>
      <c r="AN55" s="539" t="s">
        <v>419</v>
      </c>
      <c r="AO55" s="539" t="s">
        <v>420</v>
      </c>
      <c r="AP55" s="539" t="s">
        <v>517</v>
      </c>
    </row>
    <row r="56" spans="1:42" ht="12.75" customHeight="1" x14ac:dyDescent="0.3">
      <c r="A56" s="671"/>
      <c r="B56" s="537" t="s">
        <v>575</v>
      </c>
      <c r="C56" s="527" t="s">
        <v>32</v>
      </c>
      <c r="D56" s="666">
        <v>18089100</v>
      </c>
      <c r="E56" s="667">
        <v>8243301.5999999996</v>
      </c>
      <c r="F56" s="667">
        <v>4963318.54</v>
      </c>
      <c r="G56" s="667">
        <v>6171187.5</v>
      </c>
      <c r="H56" s="644">
        <f t="shared" si="32"/>
        <v>4.4078567364275135E-3</v>
      </c>
      <c r="I56" s="786">
        <v>2713.5</v>
      </c>
      <c r="J56" s="667">
        <v>954.126000000001</v>
      </c>
      <c r="K56" s="667">
        <v>603.68900000000008</v>
      </c>
      <c r="L56" s="667">
        <v>678.54375000000005</v>
      </c>
      <c r="M56" s="644">
        <f t="shared" si="33"/>
        <v>2.4264075804002428E-3</v>
      </c>
      <c r="N56" s="668">
        <v>0</v>
      </c>
      <c r="O56" s="669">
        <v>0</v>
      </c>
      <c r="P56" s="669">
        <v>0</v>
      </c>
      <c r="Q56" s="669">
        <v>0</v>
      </c>
      <c r="R56" s="670">
        <v>0</v>
      </c>
      <c r="S56" s="648">
        <v>1.32153048059429</v>
      </c>
      <c r="T56" s="649">
        <v>2.2669793941222101</v>
      </c>
      <c r="U56" s="648">
        <v>2.5203530247403898</v>
      </c>
      <c r="V56" s="649">
        <v>2.7527980790898701</v>
      </c>
      <c r="W56" s="645">
        <v>0.63933064066444323</v>
      </c>
      <c r="X56" s="669">
        <v>0</v>
      </c>
      <c r="Y56" s="646">
        <v>0.68522014752873894</v>
      </c>
      <c r="Z56" s="669">
        <v>0.63933064066444323</v>
      </c>
      <c r="AA56" s="669">
        <v>0</v>
      </c>
      <c r="AB56" s="646">
        <v>0.68522014752873894</v>
      </c>
      <c r="AC56" s="669">
        <v>0</v>
      </c>
      <c r="AD56" s="669">
        <v>0</v>
      </c>
      <c r="AE56" s="670">
        <v>0</v>
      </c>
      <c r="AF56" s="645">
        <v>11.104278388649519</v>
      </c>
      <c r="AG56" s="669">
        <v>0</v>
      </c>
      <c r="AH56" s="646">
        <v>7.486801253834301</v>
      </c>
      <c r="AI56" s="669">
        <v>0</v>
      </c>
      <c r="AJ56" s="669">
        <v>0</v>
      </c>
      <c r="AK56" s="670">
        <v>0</v>
      </c>
      <c r="AL56" s="538" t="s">
        <v>516</v>
      </c>
      <c r="AM56" s="539" t="s">
        <v>267</v>
      </c>
      <c r="AN56" s="539" t="s">
        <v>419</v>
      </c>
      <c r="AO56" s="539" t="s">
        <v>420</v>
      </c>
      <c r="AP56" s="539" t="s">
        <v>517</v>
      </c>
    </row>
    <row r="57" spans="1:42" ht="12.75" customHeight="1" x14ac:dyDescent="0.3">
      <c r="A57" s="671"/>
      <c r="B57" s="537" t="s">
        <v>576</v>
      </c>
      <c r="C57" s="527" t="s">
        <v>577</v>
      </c>
      <c r="D57" s="666">
        <v>0</v>
      </c>
      <c r="E57" s="667">
        <v>635957.28</v>
      </c>
      <c r="F57" s="667">
        <v>426878.42000000004</v>
      </c>
      <c r="G57" s="667">
        <v>0</v>
      </c>
      <c r="H57" s="644">
        <f t="shared" si="32"/>
        <v>0</v>
      </c>
      <c r="I57" s="786">
        <v>0</v>
      </c>
      <c r="J57" s="667">
        <v>97.254000000000104</v>
      </c>
      <c r="K57" s="667">
        <v>325.00350000000003</v>
      </c>
      <c r="L57" s="667">
        <v>0</v>
      </c>
      <c r="M57" s="644">
        <f t="shared" si="33"/>
        <v>0</v>
      </c>
      <c r="N57" s="668">
        <v>0</v>
      </c>
      <c r="O57" s="669">
        <v>0</v>
      </c>
      <c r="P57" s="669">
        <v>0</v>
      </c>
      <c r="Q57" s="669">
        <v>0</v>
      </c>
      <c r="R57" s="670">
        <v>0</v>
      </c>
      <c r="S57" s="648">
        <v>0.97952834081709195</v>
      </c>
      <c r="T57" s="649">
        <v>0</v>
      </c>
      <c r="U57" s="648">
        <v>1.4767113925067199</v>
      </c>
      <c r="V57" s="649">
        <v>0</v>
      </c>
      <c r="W57" s="645">
        <v>0.65000002384185773</v>
      </c>
      <c r="X57" s="669">
        <v>0</v>
      </c>
      <c r="Y57" s="669">
        <v>0</v>
      </c>
      <c r="Z57" s="669">
        <v>0.65000002384185773</v>
      </c>
      <c r="AA57" s="669">
        <v>0</v>
      </c>
      <c r="AB57" s="646">
        <v>0</v>
      </c>
      <c r="AC57" s="669">
        <v>0</v>
      </c>
      <c r="AD57" s="669">
        <v>0</v>
      </c>
      <c r="AE57" s="670">
        <v>0</v>
      </c>
      <c r="AF57" s="645">
        <v>16.453607544204857</v>
      </c>
      <c r="AG57" s="669">
        <v>0</v>
      </c>
      <c r="AH57" s="646">
        <v>0</v>
      </c>
      <c r="AI57" s="669">
        <v>0</v>
      </c>
      <c r="AJ57" s="669">
        <v>0</v>
      </c>
      <c r="AK57" s="670">
        <v>0</v>
      </c>
      <c r="AL57" s="538" t="s">
        <v>516</v>
      </c>
      <c r="AM57" s="539" t="s">
        <v>267</v>
      </c>
      <c r="AN57" s="539" t="s">
        <v>419</v>
      </c>
      <c r="AO57" s="539" t="s">
        <v>431</v>
      </c>
      <c r="AP57" s="539" t="s">
        <v>517</v>
      </c>
    </row>
    <row r="58" spans="1:42" ht="12.75" customHeight="1" x14ac:dyDescent="0.3">
      <c r="A58" s="671"/>
      <c r="B58" s="537" t="s">
        <v>578</v>
      </c>
      <c r="C58" s="527" t="s">
        <v>579</v>
      </c>
      <c r="D58" s="666">
        <v>0</v>
      </c>
      <c r="E58" s="667">
        <v>0</v>
      </c>
      <c r="F58" s="667">
        <v>0</v>
      </c>
      <c r="G58" s="667">
        <v>5531052.6831857804</v>
      </c>
      <c r="H58" s="644">
        <f t="shared" si="32"/>
        <v>3.9506315160762681E-3</v>
      </c>
      <c r="I58" s="786">
        <v>0</v>
      </c>
      <c r="J58" s="667">
        <v>0</v>
      </c>
      <c r="K58" s="667">
        <v>0</v>
      </c>
      <c r="L58" s="667">
        <v>1282.0771858744099</v>
      </c>
      <c r="M58" s="644">
        <f t="shared" si="33"/>
        <v>4.5845854485637508E-3</v>
      </c>
      <c r="N58" s="668">
        <v>0</v>
      </c>
      <c r="O58" s="669">
        <v>0</v>
      </c>
      <c r="P58" s="669">
        <v>0</v>
      </c>
      <c r="Q58" s="669">
        <v>0</v>
      </c>
      <c r="R58" s="670">
        <v>0</v>
      </c>
      <c r="S58" s="648">
        <v>0</v>
      </c>
      <c r="T58" s="649">
        <v>1.21232397505814</v>
      </c>
      <c r="U58" s="648">
        <v>0</v>
      </c>
      <c r="V58" s="649">
        <v>2.87426341703538</v>
      </c>
      <c r="W58" s="668">
        <v>0</v>
      </c>
      <c r="X58" s="669">
        <v>0</v>
      </c>
      <c r="Y58" s="646">
        <v>0.77778809959580208</v>
      </c>
      <c r="Z58" s="669">
        <v>0</v>
      </c>
      <c r="AA58" s="669">
        <v>0</v>
      </c>
      <c r="AB58" s="646">
        <v>0.77778809959580208</v>
      </c>
      <c r="AC58" s="669">
        <v>0</v>
      </c>
      <c r="AD58" s="669">
        <v>0</v>
      </c>
      <c r="AE58" s="670">
        <v>0</v>
      </c>
      <c r="AF58" s="645">
        <v>0</v>
      </c>
      <c r="AG58" s="669">
        <v>0</v>
      </c>
      <c r="AH58" s="646">
        <v>10.73018220742121</v>
      </c>
      <c r="AI58" s="669">
        <v>0</v>
      </c>
      <c r="AJ58" s="669">
        <v>0</v>
      </c>
      <c r="AK58" s="670">
        <v>0</v>
      </c>
      <c r="AL58" s="538" t="s">
        <v>516</v>
      </c>
      <c r="AM58" s="539" t="s">
        <v>267</v>
      </c>
      <c r="AN58" s="539" t="s">
        <v>419</v>
      </c>
      <c r="AO58" s="539" t="s">
        <v>437</v>
      </c>
      <c r="AP58" s="539" t="s">
        <v>517</v>
      </c>
    </row>
    <row r="59" spans="1:42" ht="12.75" customHeight="1" x14ac:dyDescent="0.3">
      <c r="A59" s="602"/>
      <c r="B59" s="522" t="s">
        <v>464</v>
      </c>
      <c r="C59" s="523" t="s">
        <v>465</v>
      </c>
      <c r="D59" s="634">
        <f>SUM(D60:D63)</f>
        <v>14391814.723786514</v>
      </c>
      <c r="E59" s="634">
        <f t="shared" ref="E59:G59" si="44">SUM(E60:E63)</f>
        <v>35988456.662262999</v>
      </c>
      <c r="F59" s="634">
        <f t="shared" si="44"/>
        <v>8425712.7160999998</v>
      </c>
      <c r="G59" s="634">
        <f t="shared" si="44"/>
        <v>3056925.2127</v>
      </c>
      <c r="H59" s="636">
        <f t="shared" si="32"/>
        <v>2.1834514656303675E-3</v>
      </c>
      <c r="I59" s="784">
        <f t="shared" ref="I59" si="45">SUM(I60:I63)</f>
        <v>2855.7563819232396</v>
      </c>
      <c r="J59" s="634">
        <f t="shared" ref="J59" si="46">SUM(J60:J63)</f>
        <v>7321.2355929000005</v>
      </c>
      <c r="K59" s="634">
        <f t="shared" ref="K59" si="47">SUM(K60:K63)</f>
        <v>997.73834750000003</v>
      </c>
      <c r="L59" s="634">
        <f t="shared" ref="L59" si="48">SUM(L60:L63)</f>
        <v>614.94092213361</v>
      </c>
      <c r="M59" s="636">
        <f t="shared" si="33"/>
        <v>2.1989699484569812E-3</v>
      </c>
      <c r="N59" s="637">
        <v>0</v>
      </c>
      <c r="O59" s="638">
        <v>0</v>
      </c>
      <c r="P59" s="638">
        <v>0</v>
      </c>
      <c r="Q59" s="638">
        <v>0</v>
      </c>
      <c r="R59" s="639">
        <v>0</v>
      </c>
      <c r="S59" s="640">
        <f>AVERAGE(S60:S62)</f>
        <v>2.147301193830907</v>
      </c>
      <c r="T59" s="641"/>
      <c r="U59" s="640"/>
      <c r="V59" s="641"/>
      <c r="W59" s="637"/>
      <c r="X59" s="638"/>
      <c r="Y59" s="638"/>
      <c r="Z59" s="638"/>
      <c r="AA59" s="638"/>
      <c r="AB59" s="638"/>
      <c r="AC59" s="638"/>
      <c r="AD59" s="638"/>
      <c r="AE59" s="639"/>
      <c r="AF59" s="637"/>
      <c r="AG59" s="638"/>
      <c r="AH59" s="638"/>
      <c r="AI59" s="638"/>
      <c r="AJ59" s="638"/>
      <c r="AK59" s="639"/>
      <c r="AL59" s="524" t="s">
        <v>416</v>
      </c>
      <c r="AM59" s="525" t="s">
        <v>246</v>
      </c>
      <c r="AN59" s="525"/>
      <c r="AO59" s="525"/>
      <c r="AP59" s="525" t="s">
        <v>466</v>
      </c>
    </row>
    <row r="60" spans="1:42" ht="12.75" customHeight="1" x14ac:dyDescent="0.25">
      <c r="A60" s="602"/>
      <c r="B60" s="508" t="s">
        <v>467</v>
      </c>
      <c r="C60" s="509" t="s">
        <v>80</v>
      </c>
      <c r="D60" s="642">
        <v>9000000</v>
      </c>
      <c r="E60" s="643">
        <v>14872912.06401</v>
      </c>
      <c r="F60" s="643">
        <v>0</v>
      </c>
      <c r="G60" s="643">
        <v>0</v>
      </c>
      <c r="H60" s="644">
        <f t="shared" si="32"/>
        <v>0</v>
      </c>
      <c r="I60" s="785">
        <v>2076.3000000000006</v>
      </c>
      <c r="J60" s="643">
        <v>3102.2940383999999</v>
      </c>
      <c r="K60" s="643">
        <v>0</v>
      </c>
      <c r="L60" s="643">
        <v>0</v>
      </c>
      <c r="M60" s="644">
        <f t="shared" si="33"/>
        <v>0</v>
      </c>
      <c r="N60" s="645">
        <v>0</v>
      </c>
      <c r="O60" s="646">
        <v>0</v>
      </c>
      <c r="P60" s="646">
        <v>0</v>
      </c>
      <c r="Q60" s="646">
        <v>0</v>
      </c>
      <c r="R60" s="647">
        <v>0</v>
      </c>
      <c r="S60" s="648">
        <v>4.3607484031244903</v>
      </c>
      <c r="T60" s="649">
        <v>0</v>
      </c>
      <c r="U60" s="648">
        <v>4.3607484031244903</v>
      </c>
      <c r="V60" s="649">
        <v>0</v>
      </c>
      <c r="W60" s="645">
        <v>0.69080615471527684</v>
      </c>
      <c r="X60" s="646">
        <v>0</v>
      </c>
      <c r="Y60" s="646">
        <v>0</v>
      </c>
      <c r="Z60" s="646">
        <v>0.69080615471527684</v>
      </c>
      <c r="AA60" s="646">
        <v>0</v>
      </c>
      <c r="AB60" s="646">
        <v>0</v>
      </c>
      <c r="AC60" s="646">
        <v>0</v>
      </c>
      <c r="AD60" s="646">
        <v>0</v>
      </c>
      <c r="AE60" s="647">
        <v>0</v>
      </c>
      <c r="AF60" s="645">
        <v>7.1999999999999842</v>
      </c>
      <c r="AG60" s="646">
        <v>0</v>
      </c>
      <c r="AH60" s="646">
        <v>0</v>
      </c>
      <c r="AI60" s="646">
        <v>0</v>
      </c>
      <c r="AJ60" s="646">
        <v>0</v>
      </c>
      <c r="AK60" s="647">
        <v>0</v>
      </c>
      <c r="AL60" s="514" t="s">
        <v>416</v>
      </c>
      <c r="AM60" s="515" t="s">
        <v>246</v>
      </c>
      <c r="AN60" s="515" t="s">
        <v>434</v>
      </c>
      <c r="AO60" s="515" t="s">
        <v>420</v>
      </c>
      <c r="AP60" s="515" t="s">
        <v>421</v>
      </c>
    </row>
    <row r="61" spans="1:42" ht="12.75" customHeight="1" x14ac:dyDescent="0.25">
      <c r="A61" s="602"/>
      <c r="B61" s="508" t="s">
        <v>468</v>
      </c>
      <c r="C61" s="509" t="s">
        <v>18</v>
      </c>
      <c r="D61" s="642">
        <v>2679376.8829380157</v>
      </c>
      <c r="E61" s="643">
        <v>13052460.6</v>
      </c>
      <c r="F61" s="643">
        <v>8113530.6200000001</v>
      </c>
      <c r="G61" s="643">
        <v>3043005.2127</v>
      </c>
      <c r="H61" s="644">
        <f t="shared" si="32"/>
        <v>2.1735089114994048E-3</v>
      </c>
      <c r="I61" s="785">
        <v>360.87690761453888</v>
      </c>
      <c r="J61" s="643">
        <v>2190.4227000000001</v>
      </c>
      <c r="K61" s="643">
        <v>943.04399999999998</v>
      </c>
      <c r="L61" s="643">
        <v>611.79392213360995</v>
      </c>
      <c r="M61" s="644">
        <f t="shared" si="33"/>
        <v>2.1877165773139715E-3</v>
      </c>
      <c r="N61" s="645">
        <v>0</v>
      </c>
      <c r="O61" s="646">
        <v>0</v>
      </c>
      <c r="P61" s="646">
        <v>0</v>
      </c>
      <c r="Q61" s="646">
        <v>0</v>
      </c>
      <c r="R61" s="647">
        <v>0</v>
      </c>
      <c r="S61" s="648">
        <v>1.1052078858873899</v>
      </c>
      <c r="T61" s="649">
        <v>0.79626029399787601</v>
      </c>
      <c r="U61" s="648">
        <v>3.1743132184812799</v>
      </c>
      <c r="V61" s="649">
        <v>1.30189372810783</v>
      </c>
      <c r="W61" s="645">
        <v>0.81312428495257827</v>
      </c>
      <c r="X61" s="646">
        <v>0</v>
      </c>
      <c r="Y61" s="646">
        <v>0.71102671239659754</v>
      </c>
      <c r="Z61" s="646">
        <v>0.81312428495257827</v>
      </c>
      <c r="AA61" s="646">
        <v>0</v>
      </c>
      <c r="AB61" s="646">
        <v>0.71102671239659754</v>
      </c>
      <c r="AC61" s="646">
        <v>0</v>
      </c>
      <c r="AD61" s="646">
        <v>0</v>
      </c>
      <c r="AE61" s="647">
        <v>0</v>
      </c>
      <c r="AF61" s="645">
        <v>8.8699674089208731</v>
      </c>
      <c r="AG61" s="646">
        <v>0</v>
      </c>
      <c r="AH61" s="646">
        <v>7.1947269113893411</v>
      </c>
      <c r="AI61" s="646">
        <v>0</v>
      </c>
      <c r="AJ61" s="646">
        <v>0</v>
      </c>
      <c r="AK61" s="647">
        <v>0</v>
      </c>
      <c r="AL61" s="514" t="s">
        <v>416</v>
      </c>
      <c r="AM61" s="515" t="s">
        <v>246</v>
      </c>
      <c r="AN61" s="515" t="s">
        <v>419</v>
      </c>
      <c r="AO61" s="515" t="s">
        <v>420</v>
      </c>
      <c r="AP61" s="515" t="s">
        <v>445</v>
      </c>
    </row>
    <row r="62" spans="1:42" ht="12.75" customHeight="1" x14ac:dyDescent="0.25">
      <c r="A62" s="602"/>
      <c r="B62" s="508" t="s">
        <v>469</v>
      </c>
      <c r="C62" s="509" t="s">
        <v>19</v>
      </c>
      <c r="D62" s="642">
        <v>2712437.840848498</v>
      </c>
      <c r="E62" s="643">
        <v>8063083.998253</v>
      </c>
      <c r="F62" s="643">
        <v>312182.09609999997</v>
      </c>
      <c r="G62" s="643">
        <v>13920</v>
      </c>
      <c r="H62" s="644">
        <f t="shared" si="32"/>
        <v>9.9425541309627992E-6</v>
      </c>
      <c r="I62" s="785">
        <v>418.57947430869996</v>
      </c>
      <c r="J62" s="643">
        <v>2028.5188545000001</v>
      </c>
      <c r="K62" s="643">
        <v>54.694347499999999</v>
      </c>
      <c r="L62" s="643">
        <v>3.1469999999999998</v>
      </c>
      <c r="M62" s="644">
        <f t="shared" si="33"/>
        <v>1.1253371143009664E-5</v>
      </c>
      <c r="N62" s="645">
        <v>0</v>
      </c>
      <c r="O62" s="646">
        <v>0</v>
      </c>
      <c r="P62" s="646">
        <v>0</v>
      </c>
      <c r="Q62" s="646">
        <v>0</v>
      </c>
      <c r="R62" s="647">
        <v>0</v>
      </c>
      <c r="S62" s="648">
        <v>0.97594729248084</v>
      </c>
      <c r="T62" s="649">
        <v>6.5289597742982E-2</v>
      </c>
      <c r="U62" s="648">
        <v>1.7613718577189399</v>
      </c>
      <c r="V62" s="649">
        <v>6.5439837161853295E-2</v>
      </c>
      <c r="W62" s="645">
        <v>0.65073197773902625</v>
      </c>
      <c r="X62" s="646">
        <v>0</v>
      </c>
      <c r="Y62" s="646">
        <v>0.73749999254941812</v>
      </c>
      <c r="Z62" s="646">
        <v>0.65073197773902625</v>
      </c>
      <c r="AA62" s="646">
        <v>0</v>
      </c>
      <c r="AB62" s="646">
        <v>0.73749999254941812</v>
      </c>
      <c r="AC62" s="646">
        <v>0</v>
      </c>
      <c r="AD62" s="646">
        <v>0</v>
      </c>
      <c r="AE62" s="647">
        <v>0</v>
      </c>
      <c r="AF62" s="645">
        <v>7.4269044759706135</v>
      </c>
      <c r="AG62" s="646">
        <v>0</v>
      </c>
      <c r="AH62" s="646">
        <v>13.78813553652664</v>
      </c>
      <c r="AI62" s="646">
        <v>0</v>
      </c>
      <c r="AJ62" s="646">
        <v>0</v>
      </c>
      <c r="AK62" s="647">
        <v>0</v>
      </c>
      <c r="AL62" s="514" t="s">
        <v>426</v>
      </c>
      <c r="AM62" s="515" t="s">
        <v>246</v>
      </c>
      <c r="AN62" s="515" t="s">
        <v>419</v>
      </c>
      <c r="AO62" s="515" t="s">
        <v>420</v>
      </c>
      <c r="AP62" s="515" t="s">
        <v>447</v>
      </c>
    </row>
    <row r="63" spans="1:42" ht="12.75" customHeight="1" x14ac:dyDescent="0.25">
      <c r="A63" s="602"/>
      <c r="B63" s="508" t="s">
        <v>470</v>
      </c>
      <c r="C63" s="509" t="s">
        <v>81</v>
      </c>
      <c r="D63" s="642">
        <v>0</v>
      </c>
      <c r="E63" s="643">
        <v>0</v>
      </c>
      <c r="F63" s="643">
        <v>0</v>
      </c>
      <c r="G63" s="643">
        <v>0</v>
      </c>
      <c r="H63" s="644">
        <f t="shared" si="32"/>
        <v>0</v>
      </c>
      <c r="I63" s="785">
        <v>0</v>
      </c>
      <c r="J63" s="643">
        <v>0</v>
      </c>
      <c r="K63" s="643">
        <v>0</v>
      </c>
      <c r="L63" s="643">
        <v>0</v>
      </c>
      <c r="M63" s="644">
        <f t="shared" si="33"/>
        <v>0</v>
      </c>
      <c r="N63" s="645">
        <v>0</v>
      </c>
      <c r="O63" s="646">
        <v>0</v>
      </c>
      <c r="P63" s="646">
        <v>0</v>
      </c>
      <c r="Q63" s="646">
        <v>0</v>
      </c>
      <c r="R63" s="647">
        <v>0</v>
      </c>
      <c r="S63" s="648">
        <v>0</v>
      </c>
      <c r="T63" s="649">
        <v>0</v>
      </c>
      <c r="U63" s="648">
        <v>0</v>
      </c>
      <c r="V63" s="649">
        <v>0</v>
      </c>
      <c r="W63" s="645">
        <v>0</v>
      </c>
      <c r="X63" s="646">
        <v>0</v>
      </c>
      <c r="Y63" s="646">
        <v>0</v>
      </c>
      <c r="Z63" s="646">
        <v>0</v>
      </c>
      <c r="AA63" s="646">
        <v>0</v>
      </c>
      <c r="AB63" s="646">
        <v>0</v>
      </c>
      <c r="AC63" s="646">
        <v>0</v>
      </c>
      <c r="AD63" s="646">
        <v>0</v>
      </c>
      <c r="AE63" s="647">
        <v>0</v>
      </c>
      <c r="AF63" s="645">
        <v>0</v>
      </c>
      <c r="AG63" s="646">
        <v>0</v>
      </c>
      <c r="AH63" s="646">
        <v>0</v>
      </c>
      <c r="AI63" s="646">
        <v>0</v>
      </c>
      <c r="AJ63" s="646">
        <v>0</v>
      </c>
      <c r="AK63" s="647">
        <v>0</v>
      </c>
      <c r="AL63" s="514" t="s">
        <v>416</v>
      </c>
      <c r="AM63" s="515" t="s">
        <v>246</v>
      </c>
      <c r="AN63" s="515" t="s">
        <v>434</v>
      </c>
      <c r="AO63" s="515" t="s">
        <v>420</v>
      </c>
      <c r="AP63" s="515" t="s">
        <v>451</v>
      </c>
    </row>
    <row r="64" spans="1:42" s="655" customFormat="1" ht="12.75" customHeight="1" x14ac:dyDescent="0.25">
      <c r="A64" s="488"/>
      <c r="B64" s="522" t="s">
        <v>481</v>
      </c>
      <c r="C64" s="523" t="s">
        <v>482</v>
      </c>
      <c r="D64" s="634">
        <f>SUM(D65:D68)</f>
        <v>0</v>
      </c>
      <c r="E64" s="634">
        <f t="shared" ref="E64:G64" si="49">SUM(E65:E68)</f>
        <v>0</v>
      </c>
      <c r="F64" s="634">
        <f t="shared" si="49"/>
        <v>0</v>
      </c>
      <c r="G64" s="634">
        <f t="shared" si="49"/>
        <v>0</v>
      </c>
      <c r="H64" s="636">
        <f t="shared" si="32"/>
        <v>0</v>
      </c>
      <c r="I64" s="784">
        <f t="shared" ref="I64" si="50">SUM(I65:I68)</f>
        <v>0</v>
      </c>
      <c r="J64" s="634">
        <f t="shared" ref="J64" si="51">SUM(J65:J68)</f>
        <v>0</v>
      </c>
      <c r="K64" s="634">
        <f t="shared" ref="K64" si="52">SUM(K65:K68)</f>
        <v>0</v>
      </c>
      <c r="L64" s="634">
        <f t="shared" ref="L64" si="53">SUM(L65:L68)</f>
        <v>0</v>
      </c>
      <c r="M64" s="636">
        <f t="shared" si="33"/>
        <v>0</v>
      </c>
      <c r="N64" s="637">
        <v>0</v>
      </c>
      <c r="O64" s="638">
        <v>0</v>
      </c>
      <c r="P64" s="638">
        <v>0</v>
      </c>
      <c r="Q64" s="638">
        <v>0</v>
      </c>
      <c r="R64" s="639">
        <v>0</v>
      </c>
      <c r="S64" s="640"/>
      <c r="T64" s="641"/>
      <c r="U64" s="640"/>
      <c r="V64" s="641"/>
      <c r="W64" s="637"/>
      <c r="X64" s="638"/>
      <c r="Y64" s="638"/>
      <c r="Z64" s="638"/>
      <c r="AA64" s="638"/>
      <c r="AB64" s="638"/>
      <c r="AC64" s="638"/>
      <c r="AD64" s="638"/>
      <c r="AE64" s="639"/>
      <c r="AF64" s="637"/>
      <c r="AG64" s="638"/>
      <c r="AH64" s="638"/>
      <c r="AI64" s="638"/>
      <c r="AJ64" s="638"/>
      <c r="AK64" s="639"/>
      <c r="AL64" s="524" t="s">
        <v>426</v>
      </c>
      <c r="AM64" s="525" t="s">
        <v>474</v>
      </c>
      <c r="AN64" s="525"/>
      <c r="AO64" s="525"/>
      <c r="AP64" s="525" t="s">
        <v>483</v>
      </c>
    </row>
    <row r="65" spans="1:42" s="655" customFormat="1" ht="12.75" customHeight="1" x14ac:dyDescent="0.25">
      <c r="A65" s="488"/>
      <c r="B65" s="508" t="s">
        <v>484</v>
      </c>
      <c r="C65" s="509" t="s">
        <v>82</v>
      </c>
      <c r="D65" s="642">
        <v>0</v>
      </c>
      <c r="E65" s="643">
        <v>0</v>
      </c>
      <c r="F65" s="643">
        <v>0</v>
      </c>
      <c r="G65" s="643">
        <v>0</v>
      </c>
      <c r="H65" s="644">
        <f t="shared" si="32"/>
        <v>0</v>
      </c>
      <c r="I65" s="785">
        <v>0</v>
      </c>
      <c r="J65" s="643">
        <v>0</v>
      </c>
      <c r="K65" s="643">
        <v>0</v>
      </c>
      <c r="L65" s="643">
        <v>0</v>
      </c>
      <c r="M65" s="644">
        <f t="shared" si="33"/>
        <v>0</v>
      </c>
      <c r="N65" s="645">
        <v>0</v>
      </c>
      <c r="O65" s="646">
        <v>0</v>
      </c>
      <c r="P65" s="646">
        <v>0</v>
      </c>
      <c r="Q65" s="646">
        <v>0</v>
      </c>
      <c r="R65" s="647">
        <v>0</v>
      </c>
      <c r="S65" s="648">
        <v>0</v>
      </c>
      <c r="T65" s="649">
        <v>0</v>
      </c>
      <c r="U65" s="648">
        <v>0</v>
      </c>
      <c r="V65" s="649">
        <v>0</v>
      </c>
      <c r="W65" s="645">
        <v>0</v>
      </c>
      <c r="X65" s="646">
        <v>0</v>
      </c>
      <c r="Y65" s="646">
        <v>0</v>
      </c>
      <c r="Z65" s="646">
        <v>0</v>
      </c>
      <c r="AA65" s="646">
        <v>0</v>
      </c>
      <c r="AB65" s="646">
        <v>0</v>
      </c>
      <c r="AC65" s="646">
        <v>0</v>
      </c>
      <c r="AD65" s="646">
        <v>0</v>
      </c>
      <c r="AE65" s="647">
        <v>0</v>
      </c>
      <c r="AF65" s="645">
        <v>0</v>
      </c>
      <c r="AG65" s="646">
        <v>0</v>
      </c>
      <c r="AH65" s="646">
        <v>0</v>
      </c>
      <c r="AI65" s="646">
        <v>0</v>
      </c>
      <c r="AJ65" s="646">
        <v>0</v>
      </c>
      <c r="AK65" s="647">
        <v>0</v>
      </c>
      <c r="AL65" s="514" t="s">
        <v>426</v>
      </c>
      <c r="AM65" s="515" t="s">
        <v>474</v>
      </c>
      <c r="AN65" s="515" t="s">
        <v>419</v>
      </c>
      <c r="AO65" s="515" t="s">
        <v>420</v>
      </c>
      <c r="AP65" s="515" t="s">
        <v>483</v>
      </c>
    </row>
    <row r="66" spans="1:42" s="655" customFormat="1" ht="12.75" customHeight="1" x14ac:dyDescent="0.25">
      <c r="A66" s="488"/>
      <c r="B66" s="508" t="s">
        <v>485</v>
      </c>
      <c r="C66" s="509" t="s">
        <v>83</v>
      </c>
      <c r="D66" s="642">
        <v>0</v>
      </c>
      <c r="E66" s="643">
        <v>0</v>
      </c>
      <c r="F66" s="643">
        <v>0</v>
      </c>
      <c r="G66" s="643">
        <v>0</v>
      </c>
      <c r="H66" s="644">
        <f t="shared" si="32"/>
        <v>0</v>
      </c>
      <c r="I66" s="785">
        <v>0</v>
      </c>
      <c r="J66" s="643">
        <v>0</v>
      </c>
      <c r="K66" s="643">
        <v>0</v>
      </c>
      <c r="L66" s="643">
        <v>0</v>
      </c>
      <c r="M66" s="644">
        <f t="shared" si="33"/>
        <v>0</v>
      </c>
      <c r="N66" s="645">
        <v>0</v>
      </c>
      <c r="O66" s="646">
        <v>0</v>
      </c>
      <c r="P66" s="646">
        <v>0</v>
      </c>
      <c r="Q66" s="646">
        <v>0</v>
      </c>
      <c r="R66" s="647">
        <v>0</v>
      </c>
      <c r="S66" s="648">
        <v>0</v>
      </c>
      <c r="T66" s="649">
        <v>0</v>
      </c>
      <c r="U66" s="648">
        <v>0</v>
      </c>
      <c r="V66" s="649">
        <v>0</v>
      </c>
      <c r="W66" s="645">
        <v>0</v>
      </c>
      <c r="X66" s="646">
        <v>0</v>
      </c>
      <c r="Y66" s="646">
        <v>0</v>
      </c>
      <c r="Z66" s="646">
        <v>0</v>
      </c>
      <c r="AA66" s="646">
        <v>0</v>
      </c>
      <c r="AB66" s="646">
        <v>0</v>
      </c>
      <c r="AC66" s="646">
        <v>0</v>
      </c>
      <c r="AD66" s="646">
        <v>0</v>
      </c>
      <c r="AE66" s="647">
        <v>0</v>
      </c>
      <c r="AF66" s="645">
        <v>0</v>
      </c>
      <c r="AG66" s="646">
        <v>0</v>
      </c>
      <c r="AH66" s="646">
        <v>0</v>
      </c>
      <c r="AI66" s="646">
        <v>0</v>
      </c>
      <c r="AJ66" s="646">
        <v>0</v>
      </c>
      <c r="AK66" s="647">
        <v>0</v>
      </c>
      <c r="AL66" s="514" t="s">
        <v>426</v>
      </c>
      <c r="AM66" s="515" t="s">
        <v>474</v>
      </c>
      <c r="AN66" s="515" t="s">
        <v>419</v>
      </c>
      <c r="AO66" s="515" t="s">
        <v>431</v>
      </c>
      <c r="AP66" s="515" t="s">
        <v>483</v>
      </c>
    </row>
    <row r="67" spans="1:42" s="655" customFormat="1" ht="12.75" customHeight="1" x14ac:dyDescent="0.25">
      <c r="A67" s="488"/>
      <c r="B67" s="508" t="s">
        <v>486</v>
      </c>
      <c r="C67" s="509" t="s">
        <v>487</v>
      </c>
      <c r="D67" s="642">
        <v>0</v>
      </c>
      <c r="E67" s="643">
        <v>0</v>
      </c>
      <c r="F67" s="643">
        <v>0</v>
      </c>
      <c r="G67" s="643">
        <v>0</v>
      </c>
      <c r="H67" s="644">
        <f t="shared" si="32"/>
        <v>0</v>
      </c>
      <c r="I67" s="785">
        <v>0</v>
      </c>
      <c r="J67" s="643">
        <v>0</v>
      </c>
      <c r="K67" s="643">
        <v>0</v>
      </c>
      <c r="L67" s="643">
        <v>0</v>
      </c>
      <c r="M67" s="644">
        <f t="shared" si="33"/>
        <v>0</v>
      </c>
      <c r="N67" s="645">
        <v>0</v>
      </c>
      <c r="O67" s="646">
        <v>0</v>
      </c>
      <c r="P67" s="646">
        <v>0</v>
      </c>
      <c r="Q67" s="646">
        <v>0</v>
      </c>
      <c r="R67" s="647">
        <v>0</v>
      </c>
      <c r="S67" s="648">
        <v>0</v>
      </c>
      <c r="T67" s="649">
        <v>0</v>
      </c>
      <c r="U67" s="648">
        <v>0</v>
      </c>
      <c r="V67" s="649">
        <v>0</v>
      </c>
      <c r="W67" s="645">
        <v>0</v>
      </c>
      <c r="X67" s="646">
        <v>0</v>
      </c>
      <c r="Y67" s="646">
        <v>0</v>
      </c>
      <c r="Z67" s="646">
        <v>0</v>
      </c>
      <c r="AA67" s="646">
        <v>0</v>
      </c>
      <c r="AB67" s="646">
        <v>0</v>
      </c>
      <c r="AC67" s="646">
        <v>0</v>
      </c>
      <c r="AD67" s="646">
        <v>0</v>
      </c>
      <c r="AE67" s="647">
        <v>0</v>
      </c>
      <c r="AF67" s="645">
        <v>0</v>
      </c>
      <c r="AG67" s="646">
        <v>0</v>
      </c>
      <c r="AH67" s="646">
        <v>0</v>
      </c>
      <c r="AI67" s="646">
        <v>0</v>
      </c>
      <c r="AJ67" s="646">
        <v>0</v>
      </c>
      <c r="AK67" s="647">
        <v>0</v>
      </c>
      <c r="AL67" s="514" t="s">
        <v>426</v>
      </c>
      <c r="AM67" s="515" t="s">
        <v>474</v>
      </c>
      <c r="AN67" s="515" t="s">
        <v>419</v>
      </c>
      <c r="AO67" s="515" t="s">
        <v>488</v>
      </c>
      <c r="AP67" s="515" t="s">
        <v>483</v>
      </c>
    </row>
    <row r="68" spans="1:42" s="778" customFormat="1" ht="12.75" customHeight="1" x14ac:dyDescent="0.25">
      <c r="A68" s="768"/>
      <c r="B68" s="769" t="s">
        <v>479</v>
      </c>
      <c r="C68" s="531" t="s">
        <v>93</v>
      </c>
      <c r="D68" s="770">
        <v>0</v>
      </c>
      <c r="E68" s="771">
        <v>0</v>
      </c>
      <c r="F68" s="771">
        <v>0</v>
      </c>
      <c r="G68" s="771">
        <v>0</v>
      </c>
      <c r="H68" s="772">
        <f t="shared" si="32"/>
        <v>0</v>
      </c>
      <c r="I68" s="787">
        <v>0</v>
      </c>
      <c r="J68" s="771">
        <v>0</v>
      </c>
      <c r="K68" s="771">
        <v>0</v>
      </c>
      <c r="L68" s="771">
        <v>0</v>
      </c>
      <c r="M68" s="772">
        <f t="shared" si="33"/>
        <v>0</v>
      </c>
      <c r="N68" s="773">
        <v>0</v>
      </c>
      <c r="O68" s="774">
        <v>0</v>
      </c>
      <c r="P68" s="774">
        <v>0</v>
      </c>
      <c r="Q68" s="774">
        <v>0</v>
      </c>
      <c r="R68" s="775">
        <v>0</v>
      </c>
      <c r="S68" s="776">
        <v>0</v>
      </c>
      <c r="T68" s="777">
        <v>0</v>
      </c>
      <c r="U68" s="776">
        <v>0</v>
      </c>
      <c r="V68" s="777">
        <v>0</v>
      </c>
      <c r="W68" s="773">
        <v>0</v>
      </c>
      <c r="X68" s="774">
        <v>0</v>
      </c>
      <c r="Y68" s="774">
        <v>0</v>
      </c>
      <c r="Z68" s="774">
        <v>0</v>
      </c>
      <c r="AA68" s="774">
        <v>0</v>
      </c>
      <c r="AB68" s="774">
        <v>0</v>
      </c>
      <c r="AC68" s="774">
        <v>0</v>
      </c>
      <c r="AD68" s="774">
        <v>0</v>
      </c>
      <c r="AE68" s="775">
        <v>0</v>
      </c>
      <c r="AF68" s="773">
        <v>0</v>
      </c>
      <c r="AG68" s="774">
        <v>0</v>
      </c>
      <c r="AH68" s="774">
        <v>0</v>
      </c>
      <c r="AI68" s="774">
        <v>0</v>
      </c>
      <c r="AJ68" s="774">
        <v>0</v>
      </c>
      <c r="AK68" s="775">
        <v>0</v>
      </c>
      <c r="AL68" s="569" t="s">
        <v>426</v>
      </c>
      <c r="AM68" s="570" t="s">
        <v>474</v>
      </c>
      <c r="AN68" s="570" t="s">
        <v>434</v>
      </c>
      <c r="AO68" s="570" t="s">
        <v>420</v>
      </c>
      <c r="AP68" s="570" t="s">
        <v>480</v>
      </c>
    </row>
    <row r="69" spans="1:42" ht="12.75" customHeight="1" x14ac:dyDescent="0.25">
      <c r="A69" s="602"/>
      <c r="B69" s="522" t="s">
        <v>186</v>
      </c>
      <c r="C69" s="523" t="s">
        <v>489</v>
      </c>
      <c r="D69" s="634">
        <f>SUM(D70:D74)</f>
        <v>291495892.81594473</v>
      </c>
      <c r="E69" s="634">
        <f t="shared" ref="E69:G69" si="54">SUM(E70:E74)</f>
        <v>640989575.32174087</v>
      </c>
      <c r="F69" s="634">
        <f t="shared" si="54"/>
        <v>619000000</v>
      </c>
      <c r="G69" s="634">
        <f t="shared" si="54"/>
        <v>660569233.53682208</v>
      </c>
      <c r="H69" s="636">
        <f t="shared" si="32"/>
        <v>0.47182078747761924</v>
      </c>
      <c r="I69" s="784">
        <f t="shared" ref="I69" si="55">SUM(I70:I74)</f>
        <v>45576.501171751064</v>
      </c>
      <c r="J69" s="634">
        <f t="shared" ref="J69" si="56">SUM(J70:J74)</f>
        <v>147349.20742652434</v>
      </c>
      <c r="K69" s="634">
        <f t="shared" ref="K69" si="57">SUM(K70:K74)</f>
        <v>144000</v>
      </c>
      <c r="L69" s="634">
        <f t="shared" ref="L69" si="58">SUM(L70:L74)</f>
        <v>128584.95746406852</v>
      </c>
      <c r="M69" s="636">
        <f t="shared" si="33"/>
        <v>0.45980751501470413</v>
      </c>
      <c r="N69" s="637">
        <v>0</v>
      </c>
      <c r="O69" s="638">
        <v>0</v>
      </c>
      <c r="P69" s="638">
        <v>0</v>
      </c>
      <c r="Q69" s="638">
        <v>0</v>
      </c>
      <c r="R69" s="639">
        <v>0</v>
      </c>
      <c r="S69" s="640"/>
      <c r="T69" s="641">
        <v>2.5499999999999998</v>
      </c>
      <c r="U69" s="640">
        <v>50.1</v>
      </c>
      <c r="V69" s="641">
        <v>136.61000000000001</v>
      </c>
      <c r="W69" s="637">
        <v>0</v>
      </c>
      <c r="X69" s="638">
        <v>0</v>
      </c>
      <c r="Y69" s="638">
        <v>0</v>
      </c>
      <c r="Z69" s="638">
        <v>0</v>
      </c>
      <c r="AA69" s="638">
        <v>0</v>
      </c>
      <c r="AB69" s="638">
        <v>0</v>
      </c>
      <c r="AC69" s="638">
        <v>0</v>
      </c>
      <c r="AD69" s="638">
        <v>0</v>
      </c>
      <c r="AE69" s="639">
        <v>0</v>
      </c>
      <c r="AF69" s="637">
        <v>11.975564200447318</v>
      </c>
      <c r="AG69" s="638">
        <v>0</v>
      </c>
      <c r="AH69" s="638">
        <v>4.4928026743385834</v>
      </c>
      <c r="AI69" s="638">
        <v>0</v>
      </c>
      <c r="AJ69" s="638">
        <v>0</v>
      </c>
      <c r="AK69" s="639">
        <v>0</v>
      </c>
      <c r="AL69" s="524" t="s">
        <v>426</v>
      </c>
      <c r="AM69" s="525" t="s">
        <v>474</v>
      </c>
      <c r="AN69" s="525"/>
      <c r="AO69" s="525"/>
      <c r="AP69" s="525" t="s">
        <v>623</v>
      </c>
    </row>
    <row r="70" spans="1:42" ht="12.75" customHeight="1" x14ac:dyDescent="0.25">
      <c r="A70" s="602"/>
      <c r="B70" s="508" t="s">
        <v>490</v>
      </c>
      <c r="C70" s="509" t="s">
        <v>491</v>
      </c>
      <c r="D70" s="642">
        <v>291495892.81594473</v>
      </c>
      <c r="E70" s="643">
        <v>640989575.32174087</v>
      </c>
      <c r="F70" s="643">
        <v>619000000</v>
      </c>
      <c r="G70" s="643">
        <v>660569233.53682208</v>
      </c>
      <c r="H70" s="644">
        <f t="shared" si="32"/>
        <v>0.47182078747761924</v>
      </c>
      <c r="I70" s="785">
        <v>45576.501171751064</v>
      </c>
      <c r="J70" s="643">
        <v>147349.20742652434</v>
      </c>
      <c r="K70" s="643">
        <v>144000</v>
      </c>
      <c r="L70" s="643">
        <v>128584.95746406852</v>
      </c>
      <c r="M70" s="644">
        <f t="shared" si="33"/>
        <v>0.45980751501470413</v>
      </c>
      <c r="N70" s="645">
        <v>0</v>
      </c>
      <c r="O70" s="646">
        <v>0</v>
      </c>
      <c r="P70" s="646">
        <v>0</v>
      </c>
      <c r="Q70" s="646">
        <v>0</v>
      </c>
      <c r="R70" s="647">
        <v>0</v>
      </c>
      <c r="S70" s="648">
        <v>0</v>
      </c>
      <c r="T70" s="649">
        <v>0</v>
      </c>
      <c r="U70" s="648">
        <v>0</v>
      </c>
      <c r="V70" s="649">
        <v>0</v>
      </c>
      <c r="W70" s="645">
        <v>0</v>
      </c>
      <c r="X70" s="646">
        <v>0</v>
      </c>
      <c r="Y70" s="646">
        <v>0</v>
      </c>
      <c r="Z70" s="646">
        <v>0</v>
      </c>
      <c r="AA70" s="646">
        <v>0</v>
      </c>
      <c r="AB70" s="646">
        <v>0</v>
      </c>
      <c r="AC70" s="646">
        <v>0</v>
      </c>
      <c r="AD70" s="646">
        <v>0</v>
      </c>
      <c r="AE70" s="647">
        <v>0</v>
      </c>
      <c r="AF70" s="645">
        <v>0</v>
      </c>
      <c r="AG70" s="646">
        <v>0</v>
      </c>
      <c r="AH70" s="646">
        <v>0</v>
      </c>
      <c r="AI70" s="646">
        <v>0</v>
      </c>
      <c r="AJ70" s="646">
        <v>0</v>
      </c>
      <c r="AK70" s="647">
        <v>0</v>
      </c>
      <c r="AL70" s="514" t="s">
        <v>426</v>
      </c>
      <c r="AM70" s="515" t="s">
        <v>474</v>
      </c>
      <c r="AN70" s="515" t="s">
        <v>255</v>
      </c>
      <c r="AO70" s="515" t="s">
        <v>420</v>
      </c>
      <c r="AP70" s="515" t="s">
        <v>69</v>
      </c>
    </row>
    <row r="71" spans="1:42" s="655" customFormat="1" ht="12.75" customHeight="1" x14ac:dyDescent="0.25">
      <c r="A71" s="488"/>
      <c r="B71" s="508" t="s">
        <v>492</v>
      </c>
      <c r="C71" s="509" t="s">
        <v>493</v>
      </c>
      <c r="D71" s="642">
        <v>0</v>
      </c>
      <c r="E71" s="643">
        <v>0</v>
      </c>
      <c r="F71" s="643">
        <v>0</v>
      </c>
      <c r="G71" s="643">
        <v>0</v>
      </c>
      <c r="H71" s="644">
        <f t="shared" ref="H71:H102" si="59">+G71/$G$123</f>
        <v>0</v>
      </c>
      <c r="I71" s="785">
        <v>0</v>
      </c>
      <c r="J71" s="643">
        <v>0</v>
      </c>
      <c r="K71" s="643">
        <v>0</v>
      </c>
      <c r="L71" s="643">
        <v>0</v>
      </c>
      <c r="M71" s="644">
        <f t="shared" ref="M71:M102" si="60">+L71/$L$123</f>
        <v>0</v>
      </c>
      <c r="N71" s="645">
        <v>0</v>
      </c>
      <c r="O71" s="646">
        <v>0</v>
      </c>
      <c r="P71" s="646">
        <v>0</v>
      </c>
      <c r="Q71" s="646">
        <v>0</v>
      </c>
      <c r="R71" s="647">
        <v>0</v>
      </c>
      <c r="S71" s="648">
        <v>0</v>
      </c>
      <c r="T71" s="649">
        <v>0</v>
      </c>
      <c r="U71" s="648">
        <v>0</v>
      </c>
      <c r="V71" s="649">
        <v>0</v>
      </c>
      <c r="W71" s="645">
        <v>0</v>
      </c>
      <c r="X71" s="646">
        <v>0</v>
      </c>
      <c r="Y71" s="646">
        <v>0</v>
      </c>
      <c r="Z71" s="646">
        <v>0</v>
      </c>
      <c r="AA71" s="646">
        <v>0</v>
      </c>
      <c r="AB71" s="646">
        <v>0</v>
      </c>
      <c r="AC71" s="646">
        <v>0</v>
      </c>
      <c r="AD71" s="646">
        <v>0</v>
      </c>
      <c r="AE71" s="647">
        <v>0</v>
      </c>
      <c r="AF71" s="645">
        <v>0</v>
      </c>
      <c r="AG71" s="646">
        <v>0</v>
      </c>
      <c r="AH71" s="646">
        <v>0</v>
      </c>
      <c r="AI71" s="646">
        <v>0</v>
      </c>
      <c r="AJ71" s="646">
        <v>0</v>
      </c>
      <c r="AK71" s="647">
        <v>0</v>
      </c>
      <c r="AL71" s="514" t="s">
        <v>426</v>
      </c>
      <c r="AM71" s="515" t="s">
        <v>474</v>
      </c>
      <c r="AN71" s="515" t="s">
        <v>255</v>
      </c>
      <c r="AO71" s="515" t="s">
        <v>420</v>
      </c>
      <c r="AP71" s="515" t="s">
        <v>69</v>
      </c>
    </row>
    <row r="72" spans="1:42" ht="12.75" customHeight="1" x14ac:dyDescent="0.25">
      <c r="A72" s="602"/>
      <c r="B72" s="508" t="s">
        <v>494</v>
      </c>
      <c r="C72" s="509" t="s">
        <v>495</v>
      </c>
      <c r="D72" s="642">
        <v>0</v>
      </c>
      <c r="E72" s="643">
        <v>0</v>
      </c>
      <c r="F72" s="643">
        <v>0</v>
      </c>
      <c r="G72" s="643">
        <v>0</v>
      </c>
      <c r="H72" s="644">
        <f t="shared" si="59"/>
        <v>0</v>
      </c>
      <c r="I72" s="785">
        <v>0</v>
      </c>
      <c r="J72" s="643">
        <v>0</v>
      </c>
      <c r="K72" s="643">
        <v>0</v>
      </c>
      <c r="L72" s="643">
        <v>0</v>
      </c>
      <c r="M72" s="644">
        <f t="shared" si="60"/>
        <v>0</v>
      </c>
      <c r="N72" s="645">
        <v>0</v>
      </c>
      <c r="O72" s="646">
        <v>0</v>
      </c>
      <c r="P72" s="646">
        <v>0</v>
      </c>
      <c r="Q72" s="646">
        <v>0</v>
      </c>
      <c r="R72" s="647">
        <v>0</v>
      </c>
      <c r="S72" s="648">
        <v>0</v>
      </c>
      <c r="T72" s="649">
        <v>0</v>
      </c>
      <c r="U72" s="648">
        <v>0</v>
      </c>
      <c r="V72" s="649">
        <v>0</v>
      </c>
      <c r="W72" s="645">
        <v>0</v>
      </c>
      <c r="X72" s="646">
        <v>0</v>
      </c>
      <c r="Y72" s="646">
        <v>0</v>
      </c>
      <c r="Z72" s="646">
        <v>0</v>
      </c>
      <c r="AA72" s="646">
        <v>0</v>
      </c>
      <c r="AB72" s="646">
        <v>0</v>
      </c>
      <c r="AC72" s="646">
        <v>0</v>
      </c>
      <c r="AD72" s="646">
        <v>0</v>
      </c>
      <c r="AE72" s="647">
        <v>0</v>
      </c>
      <c r="AF72" s="645">
        <v>0</v>
      </c>
      <c r="AG72" s="646">
        <v>0</v>
      </c>
      <c r="AH72" s="646">
        <v>0</v>
      </c>
      <c r="AI72" s="646">
        <v>0</v>
      </c>
      <c r="AJ72" s="646">
        <v>0</v>
      </c>
      <c r="AK72" s="647">
        <v>0</v>
      </c>
      <c r="AL72" s="514" t="s">
        <v>426</v>
      </c>
      <c r="AM72" s="515" t="s">
        <v>474</v>
      </c>
      <c r="AN72" s="515" t="s">
        <v>255</v>
      </c>
      <c r="AO72" s="515" t="s">
        <v>420</v>
      </c>
      <c r="AP72" s="515" t="s">
        <v>69</v>
      </c>
    </row>
    <row r="73" spans="1:42" ht="12.75" customHeight="1" x14ac:dyDescent="0.25">
      <c r="A73" s="602"/>
      <c r="B73" s="508" t="s">
        <v>496</v>
      </c>
      <c r="C73" s="509" t="s">
        <v>497</v>
      </c>
      <c r="D73" s="642">
        <v>0</v>
      </c>
      <c r="E73" s="643">
        <v>0</v>
      </c>
      <c r="F73" s="643">
        <v>0</v>
      </c>
      <c r="G73" s="643">
        <v>0</v>
      </c>
      <c r="H73" s="644">
        <f t="shared" si="59"/>
        <v>0</v>
      </c>
      <c r="I73" s="785">
        <v>0</v>
      </c>
      <c r="J73" s="643">
        <v>0</v>
      </c>
      <c r="K73" s="643">
        <v>0</v>
      </c>
      <c r="L73" s="643">
        <v>0</v>
      </c>
      <c r="M73" s="644">
        <f t="shared" si="60"/>
        <v>0</v>
      </c>
      <c r="N73" s="645">
        <v>0</v>
      </c>
      <c r="O73" s="646">
        <v>0</v>
      </c>
      <c r="P73" s="646">
        <v>0</v>
      </c>
      <c r="Q73" s="646">
        <v>0</v>
      </c>
      <c r="R73" s="647">
        <v>0</v>
      </c>
      <c r="S73" s="648">
        <v>0</v>
      </c>
      <c r="T73" s="649">
        <v>0</v>
      </c>
      <c r="U73" s="648">
        <v>0</v>
      </c>
      <c r="V73" s="649">
        <v>0</v>
      </c>
      <c r="W73" s="645">
        <v>0</v>
      </c>
      <c r="X73" s="646">
        <v>0</v>
      </c>
      <c r="Y73" s="646">
        <v>0</v>
      </c>
      <c r="Z73" s="646">
        <v>0</v>
      </c>
      <c r="AA73" s="646">
        <v>0</v>
      </c>
      <c r="AB73" s="646">
        <v>0</v>
      </c>
      <c r="AC73" s="646">
        <v>0</v>
      </c>
      <c r="AD73" s="646">
        <v>0</v>
      </c>
      <c r="AE73" s="647">
        <v>0</v>
      </c>
      <c r="AF73" s="645">
        <v>0</v>
      </c>
      <c r="AG73" s="646">
        <v>0</v>
      </c>
      <c r="AH73" s="646">
        <v>0</v>
      </c>
      <c r="AI73" s="646">
        <v>0</v>
      </c>
      <c r="AJ73" s="646">
        <v>0</v>
      </c>
      <c r="AK73" s="647">
        <v>0</v>
      </c>
      <c r="AL73" s="514" t="s">
        <v>426</v>
      </c>
      <c r="AM73" s="515" t="s">
        <v>474</v>
      </c>
      <c r="AN73" s="515" t="s">
        <v>255</v>
      </c>
      <c r="AO73" s="515" t="s">
        <v>420</v>
      </c>
      <c r="AP73" s="515" t="s">
        <v>69</v>
      </c>
    </row>
    <row r="74" spans="1:42" s="655" customFormat="1" ht="12.75" customHeight="1" x14ac:dyDescent="0.25">
      <c r="A74" s="488"/>
      <c r="B74" s="508" t="s">
        <v>498</v>
      </c>
      <c r="C74" s="509" t="s">
        <v>499</v>
      </c>
      <c r="D74" s="642">
        <v>0</v>
      </c>
      <c r="E74" s="643">
        <v>0</v>
      </c>
      <c r="F74" s="643">
        <v>0</v>
      </c>
      <c r="G74" s="643">
        <v>0</v>
      </c>
      <c r="H74" s="644">
        <f t="shared" si="59"/>
        <v>0</v>
      </c>
      <c r="I74" s="785">
        <v>0</v>
      </c>
      <c r="J74" s="643">
        <v>0</v>
      </c>
      <c r="K74" s="643">
        <v>0</v>
      </c>
      <c r="L74" s="643">
        <v>0</v>
      </c>
      <c r="M74" s="644">
        <f t="shared" si="60"/>
        <v>0</v>
      </c>
      <c r="N74" s="645">
        <v>0</v>
      </c>
      <c r="O74" s="646">
        <v>0</v>
      </c>
      <c r="P74" s="646">
        <v>0</v>
      </c>
      <c r="Q74" s="646">
        <v>0</v>
      </c>
      <c r="R74" s="647">
        <v>0</v>
      </c>
      <c r="S74" s="648">
        <v>0</v>
      </c>
      <c r="T74" s="649">
        <v>0</v>
      </c>
      <c r="U74" s="648">
        <v>0</v>
      </c>
      <c r="V74" s="649">
        <v>0</v>
      </c>
      <c r="W74" s="645">
        <v>0</v>
      </c>
      <c r="X74" s="646">
        <v>0</v>
      </c>
      <c r="Y74" s="646">
        <v>0</v>
      </c>
      <c r="Z74" s="646">
        <v>0</v>
      </c>
      <c r="AA74" s="646">
        <v>0</v>
      </c>
      <c r="AB74" s="646">
        <v>0</v>
      </c>
      <c r="AC74" s="646">
        <v>0</v>
      </c>
      <c r="AD74" s="646">
        <v>0</v>
      </c>
      <c r="AE74" s="647">
        <v>0</v>
      </c>
      <c r="AF74" s="645">
        <v>0</v>
      </c>
      <c r="AG74" s="646">
        <v>0</v>
      </c>
      <c r="AH74" s="646">
        <v>0</v>
      </c>
      <c r="AI74" s="646">
        <v>0</v>
      </c>
      <c r="AJ74" s="646">
        <v>0</v>
      </c>
      <c r="AK74" s="647">
        <v>0</v>
      </c>
      <c r="AL74" s="514" t="s">
        <v>426</v>
      </c>
      <c r="AM74" s="515" t="s">
        <v>474</v>
      </c>
      <c r="AN74" s="515" t="s">
        <v>255</v>
      </c>
      <c r="AO74" s="515" t="s">
        <v>420</v>
      </c>
      <c r="AP74" s="515" t="s">
        <v>69</v>
      </c>
    </row>
    <row r="75" spans="1:42" ht="12.75" customHeight="1" x14ac:dyDescent="0.25">
      <c r="A75" s="602"/>
      <c r="B75" s="522" t="s">
        <v>500</v>
      </c>
      <c r="C75" s="523" t="s">
        <v>92</v>
      </c>
      <c r="D75" s="634">
        <f>SUM(D76:D78)</f>
        <v>0</v>
      </c>
      <c r="E75" s="634">
        <f t="shared" ref="E75:G75" si="61">SUM(E76:E78)</f>
        <v>0</v>
      </c>
      <c r="F75" s="634">
        <f t="shared" si="61"/>
        <v>0</v>
      </c>
      <c r="G75" s="634">
        <f t="shared" si="61"/>
        <v>0</v>
      </c>
      <c r="H75" s="636">
        <f t="shared" si="59"/>
        <v>0</v>
      </c>
      <c r="I75" s="784">
        <f t="shared" ref="I75" si="62">SUM(I76:I78)</f>
        <v>0</v>
      </c>
      <c r="J75" s="634">
        <f t="shared" ref="J75" si="63">SUM(J76:J78)</f>
        <v>0</v>
      </c>
      <c r="K75" s="634">
        <f t="shared" ref="K75" si="64">SUM(K76:K78)</f>
        <v>0</v>
      </c>
      <c r="L75" s="634">
        <f t="shared" ref="L75" si="65">SUM(L76:L78)</f>
        <v>0</v>
      </c>
      <c r="M75" s="636">
        <f t="shared" si="60"/>
        <v>0</v>
      </c>
      <c r="N75" s="637">
        <v>0</v>
      </c>
      <c r="O75" s="638">
        <v>0</v>
      </c>
      <c r="P75" s="638">
        <v>0</v>
      </c>
      <c r="Q75" s="638">
        <v>0</v>
      </c>
      <c r="R75" s="639">
        <v>0</v>
      </c>
      <c r="S75" s="640"/>
      <c r="T75" s="641"/>
      <c r="U75" s="640"/>
      <c r="V75" s="641"/>
      <c r="W75" s="637"/>
      <c r="X75" s="638"/>
      <c r="Y75" s="638"/>
      <c r="Z75" s="638"/>
      <c r="AA75" s="638"/>
      <c r="AB75" s="638"/>
      <c r="AC75" s="638"/>
      <c r="AD75" s="638"/>
      <c r="AE75" s="639"/>
      <c r="AF75" s="637"/>
      <c r="AG75" s="638"/>
      <c r="AH75" s="638"/>
      <c r="AI75" s="638"/>
      <c r="AJ75" s="638"/>
      <c r="AK75" s="639"/>
      <c r="AL75" s="524" t="s">
        <v>416</v>
      </c>
      <c r="AM75" s="525" t="s">
        <v>474</v>
      </c>
      <c r="AN75" s="530"/>
      <c r="AO75" s="530"/>
      <c r="AP75" s="525" t="s">
        <v>501</v>
      </c>
    </row>
    <row r="76" spans="1:42" ht="12.75" customHeight="1" x14ac:dyDescent="0.25">
      <c r="A76" s="602"/>
      <c r="B76" s="508" t="s">
        <v>502</v>
      </c>
      <c r="C76" s="531" t="s">
        <v>503</v>
      </c>
      <c r="D76" s="642">
        <v>0</v>
      </c>
      <c r="E76" s="643">
        <v>0</v>
      </c>
      <c r="F76" s="643">
        <v>0</v>
      </c>
      <c r="G76" s="643">
        <v>0</v>
      </c>
      <c r="H76" s="644">
        <f t="shared" si="59"/>
        <v>0</v>
      </c>
      <c r="I76" s="785">
        <v>0</v>
      </c>
      <c r="J76" s="643">
        <v>0</v>
      </c>
      <c r="K76" s="643">
        <v>0</v>
      </c>
      <c r="L76" s="643">
        <v>0</v>
      </c>
      <c r="M76" s="644">
        <f t="shared" si="60"/>
        <v>0</v>
      </c>
      <c r="N76" s="645">
        <v>0</v>
      </c>
      <c r="O76" s="646">
        <v>0</v>
      </c>
      <c r="P76" s="646">
        <v>0</v>
      </c>
      <c r="Q76" s="646">
        <v>0</v>
      </c>
      <c r="R76" s="647">
        <v>0</v>
      </c>
      <c r="S76" s="648">
        <v>0</v>
      </c>
      <c r="T76" s="649">
        <v>0</v>
      </c>
      <c r="U76" s="648">
        <v>0</v>
      </c>
      <c r="V76" s="649">
        <v>0</v>
      </c>
      <c r="W76" s="645">
        <v>0</v>
      </c>
      <c r="X76" s="646">
        <v>0</v>
      </c>
      <c r="Y76" s="646">
        <v>0</v>
      </c>
      <c r="Z76" s="646">
        <v>0</v>
      </c>
      <c r="AA76" s="646">
        <v>0</v>
      </c>
      <c r="AB76" s="646">
        <v>0</v>
      </c>
      <c r="AC76" s="646">
        <v>0</v>
      </c>
      <c r="AD76" s="646">
        <v>0</v>
      </c>
      <c r="AE76" s="647">
        <v>0</v>
      </c>
      <c r="AF76" s="645">
        <v>0</v>
      </c>
      <c r="AG76" s="646">
        <v>0</v>
      </c>
      <c r="AH76" s="646">
        <v>0</v>
      </c>
      <c r="AI76" s="646">
        <v>0</v>
      </c>
      <c r="AJ76" s="646">
        <v>0</v>
      </c>
      <c r="AK76" s="647">
        <v>0</v>
      </c>
      <c r="AL76" s="514" t="s">
        <v>426</v>
      </c>
      <c r="AM76" s="515" t="s">
        <v>474</v>
      </c>
      <c r="AN76" s="515" t="s">
        <v>434</v>
      </c>
      <c r="AO76" s="515" t="s">
        <v>420</v>
      </c>
      <c r="AP76" s="515" t="s">
        <v>501</v>
      </c>
    </row>
    <row r="77" spans="1:42" s="655" customFormat="1" ht="12.75" customHeight="1" x14ac:dyDescent="0.25">
      <c r="A77" s="488"/>
      <c r="B77" s="508" t="s">
        <v>504</v>
      </c>
      <c r="C77" s="531" t="s">
        <v>505</v>
      </c>
      <c r="D77" s="642">
        <v>0</v>
      </c>
      <c r="E77" s="643">
        <v>0</v>
      </c>
      <c r="F77" s="643">
        <v>0</v>
      </c>
      <c r="G77" s="643">
        <v>0</v>
      </c>
      <c r="H77" s="644">
        <f t="shared" si="59"/>
        <v>0</v>
      </c>
      <c r="I77" s="785">
        <v>0</v>
      </c>
      <c r="J77" s="643">
        <v>0</v>
      </c>
      <c r="K77" s="643">
        <v>0</v>
      </c>
      <c r="L77" s="643">
        <v>0</v>
      </c>
      <c r="M77" s="644">
        <f t="shared" si="60"/>
        <v>0</v>
      </c>
      <c r="N77" s="645">
        <v>0</v>
      </c>
      <c r="O77" s="646">
        <v>0</v>
      </c>
      <c r="P77" s="646">
        <v>0</v>
      </c>
      <c r="Q77" s="646">
        <v>0</v>
      </c>
      <c r="R77" s="647">
        <v>0</v>
      </c>
      <c r="S77" s="648">
        <v>0</v>
      </c>
      <c r="T77" s="649">
        <v>0</v>
      </c>
      <c r="U77" s="648">
        <v>0</v>
      </c>
      <c r="V77" s="649">
        <v>0</v>
      </c>
      <c r="W77" s="645">
        <v>0</v>
      </c>
      <c r="X77" s="646">
        <v>0</v>
      </c>
      <c r="Y77" s="646">
        <v>0</v>
      </c>
      <c r="Z77" s="646">
        <v>0</v>
      </c>
      <c r="AA77" s="646">
        <v>0</v>
      </c>
      <c r="AB77" s="646">
        <v>0</v>
      </c>
      <c r="AC77" s="646">
        <v>0</v>
      </c>
      <c r="AD77" s="646">
        <v>0</v>
      </c>
      <c r="AE77" s="647">
        <v>0</v>
      </c>
      <c r="AF77" s="645">
        <v>0</v>
      </c>
      <c r="AG77" s="646">
        <v>0</v>
      </c>
      <c r="AH77" s="646">
        <v>0</v>
      </c>
      <c r="AI77" s="646">
        <v>0</v>
      </c>
      <c r="AJ77" s="646">
        <v>0</v>
      </c>
      <c r="AK77" s="647">
        <v>0</v>
      </c>
      <c r="AL77" s="514" t="s">
        <v>426</v>
      </c>
      <c r="AM77" s="515" t="s">
        <v>474</v>
      </c>
      <c r="AN77" s="515" t="s">
        <v>434</v>
      </c>
      <c r="AO77" s="515" t="s">
        <v>420</v>
      </c>
      <c r="AP77" s="515" t="s">
        <v>501</v>
      </c>
    </row>
    <row r="78" spans="1:42" ht="12.75" customHeight="1" x14ac:dyDescent="0.25">
      <c r="A78" s="602"/>
      <c r="B78" s="508" t="s">
        <v>506</v>
      </c>
      <c r="C78" s="531" t="s">
        <v>507</v>
      </c>
      <c r="D78" s="642">
        <v>0</v>
      </c>
      <c r="E78" s="643">
        <v>0</v>
      </c>
      <c r="F78" s="643">
        <v>0</v>
      </c>
      <c r="G78" s="643">
        <v>0</v>
      </c>
      <c r="H78" s="644">
        <f t="shared" si="59"/>
        <v>0</v>
      </c>
      <c r="I78" s="785">
        <v>0</v>
      </c>
      <c r="J78" s="643">
        <v>0</v>
      </c>
      <c r="K78" s="643">
        <v>0</v>
      </c>
      <c r="L78" s="643">
        <v>0</v>
      </c>
      <c r="M78" s="644">
        <f t="shared" si="60"/>
        <v>0</v>
      </c>
      <c r="N78" s="645">
        <v>0</v>
      </c>
      <c r="O78" s="646">
        <v>0</v>
      </c>
      <c r="P78" s="646">
        <v>0</v>
      </c>
      <c r="Q78" s="646">
        <v>0</v>
      </c>
      <c r="R78" s="647">
        <v>0</v>
      </c>
      <c r="S78" s="648">
        <v>0</v>
      </c>
      <c r="T78" s="649">
        <v>0</v>
      </c>
      <c r="U78" s="648">
        <v>0</v>
      </c>
      <c r="V78" s="649">
        <v>0</v>
      </c>
      <c r="W78" s="645">
        <v>0</v>
      </c>
      <c r="X78" s="646">
        <v>0</v>
      </c>
      <c r="Y78" s="646">
        <v>0</v>
      </c>
      <c r="Z78" s="646">
        <v>0</v>
      </c>
      <c r="AA78" s="646">
        <v>0</v>
      </c>
      <c r="AB78" s="646">
        <v>0</v>
      </c>
      <c r="AC78" s="646">
        <v>0</v>
      </c>
      <c r="AD78" s="646">
        <v>0</v>
      </c>
      <c r="AE78" s="647">
        <v>0</v>
      </c>
      <c r="AF78" s="645">
        <v>0</v>
      </c>
      <c r="AG78" s="646">
        <v>0</v>
      </c>
      <c r="AH78" s="646">
        <v>0</v>
      </c>
      <c r="AI78" s="646">
        <v>0</v>
      </c>
      <c r="AJ78" s="646">
        <v>0</v>
      </c>
      <c r="AK78" s="647">
        <v>0</v>
      </c>
      <c r="AL78" s="514" t="s">
        <v>416</v>
      </c>
      <c r="AM78" s="515" t="s">
        <v>474</v>
      </c>
      <c r="AN78" s="515" t="s">
        <v>434</v>
      </c>
      <c r="AO78" s="515" t="s">
        <v>420</v>
      </c>
      <c r="AP78" s="515" t="s">
        <v>501</v>
      </c>
    </row>
    <row r="79" spans="1:42" ht="12.75" customHeight="1" x14ac:dyDescent="0.25">
      <c r="A79" s="602"/>
      <c r="B79" s="522" t="s">
        <v>508</v>
      </c>
      <c r="C79" s="523" t="s">
        <v>509</v>
      </c>
      <c r="D79" s="634">
        <f>SUM(D80:D82)</f>
        <v>964344.73434823984</v>
      </c>
      <c r="E79" s="634">
        <f t="shared" ref="E79:G79" si="66">SUM(E80:E82)</f>
        <v>628024.96779440495</v>
      </c>
      <c r="F79" s="634">
        <f t="shared" si="66"/>
        <v>163762.71697900002</v>
      </c>
      <c r="G79" s="634">
        <f t="shared" si="66"/>
        <v>0</v>
      </c>
      <c r="H79" s="636">
        <f t="shared" si="59"/>
        <v>0</v>
      </c>
      <c r="I79" s="784">
        <f>SUM(I80:I82)</f>
        <v>162.12795795999995</v>
      </c>
      <c r="J79" s="634">
        <f t="shared" ref="J79:L79" si="67">SUM(J80:J82)</f>
        <v>192.52797351199999</v>
      </c>
      <c r="K79" s="634">
        <f t="shared" si="67"/>
        <v>34.517254000000001</v>
      </c>
      <c r="L79" s="634">
        <f t="shared" si="67"/>
        <v>0</v>
      </c>
      <c r="M79" s="636">
        <f t="shared" si="60"/>
        <v>0</v>
      </c>
      <c r="N79" s="637">
        <v>0</v>
      </c>
      <c r="O79" s="638">
        <v>0</v>
      </c>
      <c r="P79" s="638">
        <v>0</v>
      </c>
      <c r="Q79" s="638">
        <v>0</v>
      </c>
      <c r="R79" s="639">
        <v>0</v>
      </c>
      <c r="S79" s="640">
        <f>AVERAGE(S81)</f>
        <v>0.13225360759176899</v>
      </c>
      <c r="T79" s="641"/>
      <c r="U79" s="640"/>
      <c r="V79" s="641"/>
      <c r="W79" s="637"/>
      <c r="X79" s="638"/>
      <c r="Y79" s="638"/>
      <c r="Z79" s="638"/>
      <c r="AA79" s="638"/>
      <c r="AB79" s="638"/>
      <c r="AC79" s="638"/>
      <c r="AD79" s="638"/>
      <c r="AE79" s="639"/>
      <c r="AF79" s="637"/>
      <c r="AG79" s="638"/>
      <c r="AH79" s="638"/>
      <c r="AI79" s="638"/>
      <c r="AJ79" s="638"/>
      <c r="AK79" s="639"/>
      <c r="AL79" s="524" t="s">
        <v>416</v>
      </c>
      <c r="AM79" s="525" t="s">
        <v>474</v>
      </c>
      <c r="AN79" s="530"/>
      <c r="AO79" s="530"/>
      <c r="AP79" s="525" t="s">
        <v>510</v>
      </c>
    </row>
    <row r="80" spans="1:42" s="655" customFormat="1" ht="12.75" customHeight="1" x14ac:dyDescent="0.25">
      <c r="A80" s="488"/>
      <c r="B80" s="508" t="s">
        <v>511</v>
      </c>
      <c r="C80" s="531" t="s">
        <v>72</v>
      </c>
      <c r="D80" s="642">
        <v>0</v>
      </c>
      <c r="E80" s="643">
        <v>0</v>
      </c>
      <c r="F80" s="643">
        <v>0</v>
      </c>
      <c r="G80" s="643">
        <v>0</v>
      </c>
      <c r="H80" s="644">
        <f t="shared" si="59"/>
        <v>0</v>
      </c>
      <c r="I80" s="785">
        <v>0</v>
      </c>
      <c r="J80" s="643">
        <v>0</v>
      </c>
      <c r="K80" s="643">
        <v>0</v>
      </c>
      <c r="L80" s="643">
        <v>0</v>
      </c>
      <c r="M80" s="644">
        <f t="shared" si="60"/>
        <v>0</v>
      </c>
      <c r="N80" s="645">
        <v>0</v>
      </c>
      <c r="O80" s="646">
        <v>0</v>
      </c>
      <c r="P80" s="646">
        <v>0</v>
      </c>
      <c r="Q80" s="646">
        <v>0</v>
      </c>
      <c r="R80" s="647">
        <v>0</v>
      </c>
      <c r="S80" s="648">
        <v>0</v>
      </c>
      <c r="T80" s="649">
        <v>0</v>
      </c>
      <c r="U80" s="648">
        <v>0</v>
      </c>
      <c r="V80" s="649">
        <v>0</v>
      </c>
      <c r="W80" s="645">
        <v>0</v>
      </c>
      <c r="X80" s="646">
        <v>0</v>
      </c>
      <c r="Y80" s="646">
        <v>0</v>
      </c>
      <c r="Z80" s="646">
        <v>0</v>
      </c>
      <c r="AA80" s="646">
        <v>0</v>
      </c>
      <c r="AB80" s="646">
        <v>0</v>
      </c>
      <c r="AC80" s="646">
        <v>0</v>
      </c>
      <c r="AD80" s="646">
        <v>0</v>
      </c>
      <c r="AE80" s="647">
        <v>0</v>
      </c>
      <c r="AF80" s="645">
        <v>0</v>
      </c>
      <c r="AG80" s="646">
        <v>0</v>
      </c>
      <c r="AH80" s="646">
        <v>0</v>
      </c>
      <c r="AI80" s="646">
        <v>0</v>
      </c>
      <c r="AJ80" s="646">
        <v>0</v>
      </c>
      <c r="AK80" s="647">
        <v>0</v>
      </c>
      <c r="AL80" s="514" t="s">
        <v>426</v>
      </c>
      <c r="AM80" s="515" t="s">
        <v>474</v>
      </c>
      <c r="AN80" s="515" t="s">
        <v>434</v>
      </c>
      <c r="AO80" s="515" t="s">
        <v>423</v>
      </c>
      <c r="AP80" s="515" t="s">
        <v>510</v>
      </c>
    </row>
    <row r="81" spans="1:42" ht="12.75" customHeight="1" x14ac:dyDescent="0.25">
      <c r="A81" s="602"/>
      <c r="B81" s="508" t="s">
        <v>512</v>
      </c>
      <c r="C81" s="531" t="s">
        <v>6</v>
      </c>
      <c r="D81" s="642">
        <v>964344.73434823984</v>
      </c>
      <c r="E81" s="643">
        <v>628024.96779440495</v>
      </c>
      <c r="F81" s="643">
        <v>163762.71697900002</v>
      </c>
      <c r="G81" s="643">
        <v>0</v>
      </c>
      <c r="H81" s="644">
        <f t="shared" si="59"/>
        <v>0</v>
      </c>
      <c r="I81" s="785">
        <v>162.12795795999995</v>
      </c>
      <c r="J81" s="643">
        <v>192.52797351199999</v>
      </c>
      <c r="K81" s="643">
        <v>34.517254000000001</v>
      </c>
      <c r="L81" s="643">
        <v>0</v>
      </c>
      <c r="M81" s="644">
        <f t="shared" si="60"/>
        <v>0</v>
      </c>
      <c r="N81" s="645">
        <v>0</v>
      </c>
      <c r="O81" s="646">
        <v>0</v>
      </c>
      <c r="P81" s="646">
        <v>0</v>
      </c>
      <c r="Q81" s="646">
        <v>0</v>
      </c>
      <c r="R81" s="647">
        <v>0</v>
      </c>
      <c r="S81" s="648">
        <v>0.13225360759176899</v>
      </c>
      <c r="T81" s="649">
        <v>0</v>
      </c>
      <c r="U81" s="648">
        <v>0.133430429768256</v>
      </c>
      <c r="V81" s="649">
        <v>0</v>
      </c>
      <c r="W81" s="645">
        <v>0.74341410669010577</v>
      </c>
      <c r="X81" s="646">
        <v>0</v>
      </c>
      <c r="Y81" s="646">
        <v>0</v>
      </c>
      <c r="Z81" s="646">
        <v>0.74341410669010577</v>
      </c>
      <c r="AA81" s="646">
        <v>0</v>
      </c>
      <c r="AB81" s="646">
        <v>0</v>
      </c>
      <c r="AC81" s="646">
        <v>0</v>
      </c>
      <c r="AD81" s="646">
        <v>0</v>
      </c>
      <c r="AE81" s="647">
        <v>0</v>
      </c>
      <c r="AF81" s="645">
        <v>9.1850868420799188</v>
      </c>
      <c r="AG81" s="646">
        <v>0</v>
      </c>
      <c r="AH81" s="646">
        <v>0</v>
      </c>
      <c r="AI81" s="646">
        <v>0</v>
      </c>
      <c r="AJ81" s="646">
        <v>0</v>
      </c>
      <c r="AK81" s="647">
        <v>0</v>
      </c>
      <c r="AL81" s="514" t="s">
        <v>513</v>
      </c>
      <c r="AM81" s="515" t="s">
        <v>474</v>
      </c>
      <c r="AN81" s="515" t="s">
        <v>434</v>
      </c>
      <c r="AO81" s="515" t="s">
        <v>423</v>
      </c>
      <c r="AP81" s="515" t="s">
        <v>510</v>
      </c>
    </row>
    <row r="82" spans="1:42" ht="12.75" customHeight="1" x14ac:dyDescent="0.25">
      <c r="A82" s="602"/>
      <c r="B82" s="508" t="s">
        <v>514</v>
      </c>
      <c r="C82" s="531" t="s">
        <v>73</v>
      </c>
      <c r="D82" s="642">
        <v>0</v>
      </c>
      <c r="E82" s="643">
        <v>0</v>
      </c>
      <c r="F82" s="643">
        <v>0</v>
      </c>
      <c r="G82" s="643">
        <v>0</v>
      </c>
      <c r="H82" s="644">
        <f t="shared" si="59"/>
        <v>0</v>
      </c>
      <c r="I82" s="785">
        <v>0</v>
      </c>
      <c r="J82" s="643">
        <v>0</v>
      </c>
      <c r="K82" s="643">
        <v>0</v>
      </c>
      <c r="L82" s="643">
        <v>0</v>
      </c>
      <c r="M82" s="644">
        <f t="shared" si="60"/>
        <v>0</v>
      </c>
      <c r="N82" s="645">
        <v>0</v>
      </c>
      <c r="O82" s="646">
        <v>0</v>
      </c>
      <c r="P82" s="646">
        <v>0</v>
      </c>
      <c r="Q82" s="646">
        <v>0</v>
      </c>
      <c r="R82" s="647">
        <v>0</v>
      </c>
      <c r="S82" s="648">
        <v>0</v>
      </c>
      <c r="T82" s="649">
        <v>0</v>
      </c>
      <c r="U82" s="648">
        <v>0</v>
      </c>
      <c r="V82" s="649">
        <v>0</v>
      </c>
      <c r="W82" s="645">
        <v>0</v>
      </c>
      <c r="X82" s="646">
        <v>0</v>
      </c>
      <c r="Y82" s="646">
        <v>0</v>
      </c>
      <c r="Z82" s="646">
        <v>0</v>
      </c>
      <c r="AA82" s="646">
        <v>0</v>
      </c>
      <c r="AB82" s="646">
        <v>0</v>
      </c>
      <c r="AC82" s="646">
        <v>0</v>
      </c>
      <c r="AD82" s="646">
        <v>0</v>
      </c>
      <c r="AE82" s="647">
        <v>0</v>
      </c>
      <c r="AF82" s="645">
        <v>0</v>
      </c>
      <c r="AG82" s="646">
        <v>0</v>
      </c>
      <c r="AH82" s="646">
        <v>0</v>
      </c>
      <c r="AI82" s="646">
        <v>0</v>
      </c>
      <c r="AJ82" s="646">
        <v>0</v>
      </c>
      <c r="AK82" s="647">
        <v>0</v>
      </c>
      <c r="AL82" s="514" t="s">
        <v>426</v>
      </c>
      <c r="AM82" s="515" t="s">
        <v>474</v>
      </c>
      <c r="AN82" s="515" t="s">
        <v>434</v>
      </c>
      <c r="AO82" s="515" t="s">
        <v>431</v>
      </c>
      <c r="AP82" s="515" t="s">
        <v>510</v>
      </c>
    </row>
    <row r="83" spans="1:42" ht="12.75" customHeight="1" x14ac:dyDescent="0.25">
      <c r="A83" s="602"/>
      <c r="B83" s="522" t="s">
        <v>518</v>
      </c>
      <c r="C83" s="523" t="s">
        <v>519</v>
      </c>
      <c r="D83" s="634">
        <f>SUM(D84:D111)</f>
        <v>24043245.987336002</v>
      </c>
      <c r="E83" s="634">
        <f t="shared" ref="E83:G83" si="68">SUM(E84:E111)</f>
        <v>11232870.832955185</v>
      </c>
      <c r="F83" s="634">
        <f t="shared" si="68"/>
        <v>17573528.138757341</v>
      </c>
      <c r="G83" s="634">
        <f t="shared" si="68"/>
        <v>25098270.667507112</v>
      </c>
      <c r="H83" s="636">
        <f t="shared" si="59"/>
        <v>1.7926789849514745E-2</v>
      </c>
      <c r="I83" s="784">
        <f>SUM(I84:I111)</f>
        <v>2676.0663770127853</v>
      </c>
      <c r="J83" s="634">
        <f t="shared" ref="J83:L83" si="69">SUM(J84:J111)</f>
        <v>1180.8441340614781</v>
      </c>
      <c r="K83" s="634">
        <f t="shared" si="69"/>
        <v>1306.9982878433113</v>
      </c>
      <c r="L83" s="634">
        <f t="shared" si="69"/>
        <v>2631.759826149083</v>
      </c>
      <c r="M83" s="636">
        <f t="shared" si="60"/>
        <v>9.4109215388999759E-3</v>
      </c>
      <c r="N83" s="637">
        <v>0</v>
      </c>
      <c r="O83" s="638">
        <v>0</v>
      </c>
      <c r="P83" s="638">
        <v>0</v>
      </c>
      <c r="Q83" s="638">
        <v>0</v>
      </c>
      <c r="R83" s="639">
        <v>0</v>
      </c>
      <c r="S83" s="640">
        <f>AVERAGE(S86:S92,S94:S104,S108:S110)</f>
        <v>0.38145340540508538</v>
      </c>
      <c r="T83" s="641"/>
      <c r="U83" s="640"/>
      <c r="V83" s="641"/>
      <c r="W83" s="637"/>
      <c r="X83" s="638"/>
      <c r="Y83" s="638"/>
      <c r="Z83" s="638"/>
      <c r="AA83" s="638"/>
      <c r="AB83" s="638"/>
      <c r="AC83" s="638"/>
      <c r="AD83" s="638"/>
      <c r="AE83" s="639"/>
      <c r="AF83" s="637"/>
      <c r="AG83" s="638"/>
      <c r="AH83" s="638"/>
      <c r="AI83" s="638"/>
      <c r="AJ83" s="638"/>
      <c r="AK83" s="639"/>
      <c r="AL83" s="524" t="s">
        <v>520</v>
      </c>
      <c r="AM83" s="525" t="s">
        <v>520</v>
      </c>
      <c r="AN83" s="530"/>
      <c r="AO83" s="530"/>
      <c r="AP83" s="525" t="s">
        <v>521</v>
      </c>
    </row>
    <row r="84" spans="1:42" ht="12.75" customHeight="1" x14ac:dyDescent="0.25">
      <c r="A84" s="602"/>
      <c r="B84" s="508" t="s">
        <v>182</v>
      </c>
      <c r="C84" s="509" t="s">
        <v>519</v>
      </c>
      <c r="D84" s="656">
        <v>0</v>
      </c>
      <c r="E84" s="657">
        <v>0</v>
      </c>
      <c r="F84" s="657">
        <v>0</v>
      </c>
      <c r="G84" s="657">
        <v>990000</v>
      </c>
      <c r="H84" s="644">
        <f t="shared" si="59"/>
        <v>7.0712130672795771E-4</v>
      </c>
      <c r="I84" s="788">
        <v>0</v>
      </c>
      <c r="J84" s="657">
        <v>0</v>
      </c>
      <c r="K84" s="657">
        <v>0</v>
      </c>
      <c r="L84" s="657">
        <v>75.031578947368402</v>
      </c>
      <c r="M84" s="644">
        <f t="shared" si="60"/>
        <v>2.683057532064719E-4</v>
      </c>
      <c r="N84" s="658">
        <v>0</v>
      </c>
      <c r="O84" s="659">
        <v>0</v>
      </c>
      <c r="P84" s="659">
        <v>0</v>
      </c>
      <c r="Q84" s="659">
        <v>0</v>
      </c>
      <c r="R84" s="660">
        <v>0</v>
      </c>
      <c r="S84" s="648">
        <v>0</v>
      </c>
      <c r="T84" s="649">
        <v>0.932349495716981</v>
      </c>
      <c r="U84" s="648">
        <v>0</v>
      </c>
      <c r="V84" s="649">
        <v>0.80296277817980899</v>
      </c>
      <c r="W84" s="658">
        <v>0</v>
      </c>
      <c r="X84" s="659">
        <v>0</v>
      </c>
      <c r="Y84" s="646">
        <v>0.85000001192092933</v>
      </c>
      <c r="Z84" s="659">
        <v>0</v>
      </c>
      <c r="AA84" s="659">
        <v>0</v>
      </c>
      <c r="AB84" s="646">
        <v>0.85000001192092933</v>
      </c>
      <c r="AC84" s="659">
        <v>0</v>
      </c>
      <c r="AD84" s="659">
        <v>0</v>
      </c>
      <c r="AE84" s="660">
        <v>0</v>
      </c>
      <c r="AF84" s="645">
        <v>0</v>
      </c>
      <c r="AG84" s="659">
        <v>0</v>
      </c>
      <c r="AH84" s="646">
        <v>11</v>
      </c>
      <c r="AI84" s="659">
        <v>0</v>
      </c>
      <c r="AJ84" s="659">
        <v>0</v>
      </c>
      <c r="AK84" s="660">
        <v>0</v>
      </c>
      <c r="AL84" s="514" t="s">
        <v>520</v>
      </c>
      <c r="AM84" s="515" t="s">
        <v>474</v>
      </c>
      <c r="AN84" s="515" t="s">
        <v>419</v>
      </c>
      <c r="AO84" s="515" t="s">
        <v>420</v>
      </c>
      <c r="AP84" s="515" t="s">
        <v>521</v>
      </c>
    </row>
    <row r="85" spans="1:42" ht="12.75" customHeight="1" x14ac:dyDescent="0.25">
      <c r="A85" s="602"/>
      <c r="B85" s="508" t="s">
        <v>181</v>
      </c>
      <c r="C85" s="509" t="s">
        <v>42</v>
      </c>
      <c r="D85" s="642">
        <v>139500</v>
      </c>
      <c r="E85" s="643">
        <v>0</v>
      </c>
      <c r="F85" s="643">
        <v>0</v>
      </c>
      <c r="G85" s="643">
        <v>0</v>
      </c>
      <c r="H85" s="644">
        <f t="shared" si="59"/>
        <v>0</v>
      </c>
      <c r="I85" s="785">
        <v>19.785144556897382</v>
      </c>
      <c r="J85" s="643">
        <v>0</v>
      </c>
      <c r="K85" s="643">
        <v>0</v>
      </c>
      <c r="L85" s="643">
        <v>0</v>
      </c>
      <c r="M85" s="644">
        <f t="shared" si="60"/>
        <v>0</v>
      </c>
      <c r="N85" s="645">
        <v>0</v>
      </c>
      <c r="O85" s="646">
        <v>0</v>
      </c>
      <c r="P85" s="646">
        <v>0</v>
      </c>
      <c r="Q85" s="646">
        <v>0</v>
      </c>
      <c r="R85" s="647">
        <v>0</v>
      </c>
      <c r="S85" s="648">
        <v>0</v>
      </c>
      <c r="T85" s="649">
        <v>0</v>
      </c>
      <c r="U85" s="648">
        <v>0</v>
      </c>
      <c r="V85" s="649">
        <v>0</v>
      </c>
      <c r="W85" s="645">
        <v>0</v>
      </c>
      <c r="X85" s="646">
        <v>0</v>
      </c>
      <c r="Y85" s="646">
        <v>0</v>
      </c>
      <c r="Z85" s="646">
        <v>0</v>
      </c>
      <c r="AA85" s="646">
        <v>0</v>
      </c>
      <c r="AB85" s="646">
        <v>0</v>
      </c>
      <c r="AC85" s="646">
        <v>0</v>
      </c>
      <c r="AD85" s="646">
        <v>0</v>
      </c>
      <c r="AE85" s="647">
        <v>0</v>
      </c>
      <c r="AF85" s="645">
        <v>0</v>
      </c>
      <c r="AG85" s="646">
        <v>0</v>
      </c>
      <c r="AH85" s="646">
        <v>0</v>
      </c>
      <c r="AI85" s="646">
        <v>0</v>
      </c>
      <c r="AJ85" s="646">
        <v>0</v>
      </c>
      <c r="AK85" s="647">
        <v>0</v>
      </c>
      <c r="AL85" s="514" t="s">
        <v>520</v>
      </c>
      <c r="AM85" s="515" t="s">
        <v>474</v>
      </c>
      <c r="AN85" s="515" t="s">
        <v>419</v>
      </c>
      <c r="AO85" s="515" t="s">
        <v>431</v>
      </c>
      <c r="AP85" s="515" t="s">
        <v>521</v>
      </c>
    </row>
    <row r="86" spans="1:42" ht="12.75" customHeight="1" x14ac:dyDescent="0.25">
      <c r="A86" s="602"/>
      <c r="B86" s="508" t="s">
        <v>522</v>
      </c>
      <c r="C86" s="509" t="s">
        <v>43</v>
      </c>
      <c r="D86" s="642">
        <v>1026000</v>
      </c>
      <c r="E86" s="643">
        <v>161679.463304</v>
      </c>
      <c r="F86" s="643">
        <v>1260980.3736</v>
      </c>
      <c r="G86" s="643">
        <v>2922248.4396629999</v>
      </c>
      <c r="H86" s="644">
        <f t="shared" si="59"/>
        <v>2.0872567022608441E-3</v>
      </c>
      <c r="I86" s="785">
        <v>150.96865908689557</v>
      </c>
      <c r="J86" s="643">
        <v>48.576900000000002</v>
      </c>
      <c r="K86" s="643">
        <v>83.347252200000014</v>
      </c>
      <c r="L86" s="643">
        <v>333.25974481318201</v>
      </c>
      <c r="M86" s="644">
        <f t="shared" si="60"/>
        <v>1.1917049874189472E-3</v>
      </c>
      <c r="N86" s="645">
        <v>0</v>
      </c>
      <c r="O86" s="646">
        <v>0</v>
      </c>
      <c r="P86" s="646">
        <v>0</v>
      </c>
      <c r="Q86" s="646">
        <v>0</v>
      </c>
      <c r="R86" s="647">
        <v>0</v>
      </c>
      <c r="S86" s="648">
        <v>0.702473413863965</v>
      </c>
      <c r="T86" s="649">
        <v>0.85597044854788096</v>
      </c>
      <c r="U86" s="648">
        <v>0.71585568535160105</v>
      </c>
      <c r="V86" s="649">
        <v>1.2596800192440101</v>
      </c>
      <c r="W86" s="645">
        <v>0.65000002384185918</v>
      </c>
      <c r="X86" s="646">
        <v>0</v>
      </c>
      <c r="Y86" s="646">
        <v>0.65000001331889845</v>
      </c>
      <c r="Z86" s="646">
        <v>0.65000002384185918</v>
      </c>
      <c r="AA86" s="646">
        <v>0</v>
      </c>
      <c r="AB86" s="646">
        <v>0.65000001331889845</v>
      </c>
      <c r="AC86" s="646">
        <v>0</v>
      </c>
      <c r="AD86" s="646">
        <v>0</v>
      </c>
      <c r="AE86" s="647">
        <v>0</v>
      </c>
      <c r="AF86" s="645">
        <v>15.155226391102143</v>
      </c>
      <c r="AG86" s="646">
        <v>0</v>
      </c>
      <c r="AH86" s="646">
        <v>12.073518400951523</v>
      </c>
      <c r="AI86" s="646">
        <v>0</v>
      </c>
      <c r="AJ86" s="646">
        <v>0</v>
      </c>
      <c r="AK86" s="647">
        <v>0</v>
      </c>
      <c r="AL86" s="514" t="s">
        <v>520</v>
      </c>
      <c r="AM86" s="515" t="s">
        <v>474</v>
      </c>
      <c r="AN86" s="515" t="s">
        <v>419</v>
      </c>
      <c r="AO86" s="515" t="s">
        <v>420</v>
      </c>
      <c r="AP86" s="515" t="s">
        <v>521</v>
      </c>
    </row>
    <row r="87" spans="1:42" ht="12.75" customHeight="1" x14ac:dyDescent="0.25">
      <c r="A87" s="602"/>
      <c r="B87" s="508" t="s">
        <v>523</v>
      </c>
      <c r="C87" s="509" t="s">
        <v>44</v>
      </c>
      <c r="D87" s="642">
        <v>306000</v>
      </c>
      <c r="E87" s="643">
        <v>65686.647205000001</v>
      </c>
      <c r="F87" s="643">
        <v>0</v>
      </c>
      <c r="G87" s="643">
        <v>1150241.1969111101</v>
      </c>
      <c r="H87" s="644">
        <f t="shared" si="59"/>
        <v>8.2157581637587289E-4</v>
      </c>
      <c r="I87" s="785">
        <v>66.007469541536068</v>
      </c>
      <c r="J87" s="643">
        <v>5.8168899999999999</v>
      </c>
      <c r="K87" s="643">
        <v>0</v>
      </c>
      <c r="L87" s="643">
        <v>150.859790311111</v>
      </c>
      <c r="M87" s="644">
        <f t="shared" si="60"/>
        <v>5.3946018777487937E-4</v>
      </c>
      <c r="N87" s="645">
        <v>0</v>
      </c>
      <c r="O87" s="646">
        <v>0</v>
      </c>
      <c r="P87" s="646">
        <v>0</v>
      </c>
      <c r="Q87" s="646">
        <v>0</v>
      </c>
      <c r="R87" s="647">
        <v>0</v>
      </c>
      <c r="S87" s="648">
        <v>0.112067348021841</v>
      </c>
      <c r="T87" s="649">
        <v>1.2372892215784701</v>
      </c>
      <c r="U87" s="648">
        <v>0.68959251671767396</v>
      </c>
      <c r="V87" s="649">
        <v>1.8835578803212001</v>
      </c>
      <c r="W87" s="645">
        <v>0.83073935493536799</v>
      </c>
      <c r="X87" s="646">
        <v>0</v>
      </c>
      <c r="Y87" s="646">
        <v>0.65000002384185895</v>
      </c>
      <c r="Z87" s="646">
        <v>0.83073935493536799</v>
      </c>
      <c r="AA87" s="646">
        <v>0</v>
      </c>
      <c r="AB87" s="646">
        <v>0.65000002384185895</v>
      </c>
      <c r="AC87" s="646">
        <v>0</v>
      </c>
      <c r="AD87" s="646">
        <v>0</v>
      </c>
      <c r="AE87" s="647">
        <v>0</v>
      </c>
      <c r="AF87" s="645">
        <v>13.407531142919446</v>
      </c>
      <c r="AG87" s="646">
        <v>0</v>
      </c>
      <c r="AH87" s="646">
        <v>5.4280284876964284</v>
      </c>
      <c r="AI87" s="646">
        <v>0</v>
      </c>
      <c r="AJ87" s="646">
        <v>0</v>
      </c>
      <c r="AK87" s="647">
        <v>0</v>
      </c>
      <c r="AL87" s="514" t="s">
        <v>520</v>
      </c>
      <c r="AM87" s="515" t="s">
        <v>474</v>
      </c>
      <c r="AN87" s="515" t="s">
        <v>419</v>
      </c>
      <c r="AO87" s="515" t="s">
        <v>420</v>
      </c>
      <c r="AP87" s="515" t="s">
        <v>521</v>
      </c>
    </row>
    <row r="88" spans="1:42" ht="12.75" customHeight="1" x14ac:dyDescent="0.25">
      <c r="A88" s="602"/>
      <c r="B88" s="508" t="s">
        <v>524</v>
      </c>
      <c r="C88" s="509" t="s">
        <v>45</v>
      </c>
      <c r="D88" s="656">
        <v>1572769.252905</v>
      </c>
      <c r="E88" s="657">
        <v>573296.57999999996</v>
      </c>
      <c r="F88" s="657">
        <v>375218.967</v>
      </c>
      <c r="G88" s="657">
        <v>163710</v>
      </c>
      <c r="H88" s="644">
        <f t="shared" si="59"/>
        <v>1.1693215063074136E-4</v>
      </c>
      <c r="I88" s="788">
        <v>161.55172821752399</v>
      </c>
      <c r="J88" s="657">
        <v>3.339</v>
      </c>
      <c r="K88" s="657">
        <v>23.261199999999999</v>
      </c>
      <c r="L88" s="657">
        <v>1.2201313937118701</v>
      </c>
      <c r="M88" s="644">
        <f t="shared" si="60"/>
        <v>4.3630732178828475E-6</v>
      </c>
      <c r="N88" s="658">
        <v>0</v>
      </c>
      <c r="O88" s="659">
        <v>0</v>
      </c>
      <c r="P88" s="659">
        <v>0</v>
      </c>
      <c r="Q88" s="659">
        <v>0</v>
      </c>
      <c r="R88" s="660">
        <v>0</v>
      </c>
      <c r="S88" s="648">
        <v>0.35016289391182598</v>
      </c>
      <c r="T88" s="649">
        <v>0.38221397498433601</v>
      </c>
      <c r="U88" s="648">
        <v>1.3345572584697201</v>
      </c>
      <c r="V88" s="649">
        <v>0.738408990522186</v>
      </c>
      <c r="W88" s="645">
        <v>0.90000000184653828</v>
      </c>
      <c r="X88" s="659">
        <v>0</v>
      </c>
      <c r="Y88" s="646">
        <v>0.65000002384186062</v>
      </c>
      <c r="Z88" s="659">
        <v>0.90000000184653828</v>
      </c>
      <c r="AA88" s="659">
        <v>0</v>
      </c>
      <c r="AB88" s="646">
        <v>0.65000002384186062</v>
      </c>
      <c r="AC88" s="659">
        <v>0</v>
      </c>
      <c r="AD88" s="659">
        <v>0</v>
      </c>
      <c r="AE88" s="660">
        <v>0</v>
      </c>
      <c r="AF88" s="645">
        <v>10.552015098363221</v>
      </c>
      <c r="AG88" s="659">
        <v>0</v>
      </c>
      <c r="AH88" s="646">
        <v>11.764705882352908</v>
      </c>
      <c r="AI88" s="659">
        <v>0</v>
      </c>
      <c r="AJ88" s="659">
        <v>0</v>
      </c>
      <c r="AK88" s="660">
        <v>0</v>
      </c>
      <c r="AL88" s="514" t="s">
        <v>520</v>
      </c>
      <c r="AM88" s="515" t="s">
        <v>474</v>
      </c>
      <c r="AN88" s="515" t="s">
        <v>419</v>
      </c>
      <c r="AO88" s="515" t="s">
        <v>420</v>
      </c>
      <c r="AP88" s="515" t="s">
        <v>521</v>
      </c>
    </row>
    <row r="89" spans="1:42" ht="12.75" customHeight="1" x14ac:dyDescent="0.25">
      <c r="A89" s="602"/>
      <c r="B89" s="508" t="s">
        <v>180</v>
      </c>
      <c r="C89" s="509" t="s">
        <v>46</v>
      </c>
      <c r="D89" s="642">
        <v>162483.63999999998</v>
      </c>
      <c r="E89" s="643">
        <v>11544.57</v>
      </c>
      <c r="F89" s="643">
        <v>16554.240000000002</v>
      </c>
      <c r="G89" s="643">
        <v>0</v>
      </c>
      <c r="H89" s="644">
        <f t="shared" si="59"/>
        <v>0</v>
      </c>
      <c r="I89" s="785">
        <v>8.7566864636570099</v>
      </c>
      <c r="J89" s="643">
        <v>1.98</v>
      </c>
      <c r="K89" s="643">
        <v>5.0129999999999999</v>
      </c>
      <c r="L89" s="643">
        <v>0</v>
      </c>
      <c r="M89" s="644">
        <f t="shared" si="60"/>
        <v>0</v>
      </c>
      <c r="N89" s="645">
        <v>0</v>
      </c>
      <c r="O89" s="646">
        <v>0</v>
      </c>
      <c r="P89" s="646">
        <v>0</v>
      </c>
      <c r="Q89" s="646">
        <v>0</v>
      </c>
      <c r="R89" s="647">
        <v>0</v>
      </c>
      <c r="S89" s="648">
        <v>0.105534077304234</v>
      </c>
      <c r="T89" s="649">
        <v>0</v>
      </c>
      <c r="U89" s="648">
        <v>0.112651947401485</v>
      </c>
      <c r="V89" s="649">
        <v>0</v>
      </c>
      <c r="W89" s="645">
        <v>0.85000001192092911</v>
      </c>
      <c r="X89" s="646">
        <v>0</v>
      </c>
      <c r="Y89" s="646">
        <v>0</v>
      </c>
      <c r="Z89" s="646">
        <v>0.85000001192092911</v>
      </c>
      <c r="AA89" s="646">
        <v>0</v>
      </c>
      <c r="AB89" s="646">
        <v>0</v>
      </c>
      <c r="AC89" s="646">
        <v>0</v>
      </c>
      <c r="AD89" s="646">
        <v>0</v>
      </c>
      <c r="AE89" s="647">
        <v>0</v>
      </c>
      <c r="AF89" s="645">
        <v>9</v>
      </c>
      <c r="AG89" s="646">
        <v>0</v>
      </c>
      <c r="AH89" s="646">
        <v>0</v>
      </c>
      <c r="AI89" s="646">
        <v>0</v>
      </c>
      <c r="AJ89" s="646">
        <v>0</v>
      </c>
      <c r="AK89" s="647">
        <v>0</v>
      </c>
      <c r="AL89" s="514" t="s">
        <v>520</v>
      </c>
      <c r="AM89" s="515" t="s">
        <v>474</v>
      </c>
      <c r="AN89" s="515" t="s">
        <v>419</v>
      </c>
      <c r="AO89" s="515" t="s">
        <v>431</v>
      </c>
      <c r="AP89" s="515" t="s">
        <v>521</v>
      </c>
    </row>
    <row r="90" spans="1:42" ht="12.75" customHeight="1" x14ac:dyDescent="0.25">
      <c r="A90" s="602"/>
      <c r="B90" s="508" t="s">
        <v>525</v>
      </c>
      <c r="C90" s="527" t="s">
        <v>47</v>
      </c>
      <c r="D90" s="642">
        <v>1611554.85</v>
      </c>
      <c r="E90" s="643">
        <v>283703.22775199998</v>
      </c>
      <c r="F90" s="643">
        <v>1694034.3189948001</v>
      </c>
      <c r="G90" s="643">
        <v>2879387.4</v>
      </c>
      <c r="H90" s="644">
        <f t="shared" si="59"/>
        <v>2.05664260693335E-3</v>
      </c>
      <c r="I90" s="785">
        <v>152.5116460452179</v>
      </c>
      <c r="J90" s="643">
        <v>3.4583460000000001</v>
      </c>
      <c r="K90" s="643">
        <v>23.093035200000003</v>
      </c>
      <c r="L90" s="643">
        <v>268.70313339866499</v>
      </c>
      <c r="M90" s="644">
        <f t="shared" si="60"/>
        <v>9.6085671669043948E-4</v>
      </c>
      <c r="N90" s="645">
        <v>0</v>
      </c>
      <c r="O90" s="646">
        <v>0</v>
      </c>
      <c r="P90" s="646">
        <v>0</v>
      </c>
      <c r="Q90" s="646">
        <v>0</v>
      </c>
      <c r="R90" s="647">
        <v>0</v>
      </c>
      <c r="S90" s="648">
        <v>0.150356942616101</v>
      </c>
      <c r="T90" s="649">
        <v>0.76667714485751304</v>
      </c>
      <c r="U90" s="648">
        <v>0.76757133770185104</v>
      </c>
      <c r="V90" s="649">
        <v>1.19007186485741</v>
      </c>
      <c r="W90" s="645">
        <v>0.84023254402727376</v>
      </c>
      <c r="X90" s="646">
        <v>0</v>
      </c>
      <c r="Y90" s="646">
        <v>0.65000000728372642</v>
      </c>
      <c r="Z90" s="646">
        <v>0.84023254402727376</v>
      </c>
      <c r="AA90" s="646">
        <v>0</v>
      </c>
      <c r="AB90" s="646">
        <v>0.65000000728372642</v>
      </c>
      <c r="AC90" s="646">
        <v>0</v>
      </c>
      <c r="AD90" s="646">
        <v>0</v>
      </c>
      <c r="AE90" s="647">
        <v>0</v>
      </c>
      <c r="AF90" s="645">
        <v>12.424612162108515</v>
      </c>
      <c r="AG90" s="646">
        <v>0</v>
      </c>
      <c r="AH90" s="646">
        <v>10.504192723150515</v>
      </c>
      <c r="AI90" s="646">
        <v>0</v>
      </c>
      <c r="AJ90" s="646">
        <v>0</v>
      </c>
      <c r="AK90" s="647">
        <v>0</v>
      </c>
      <c r="AL90" s="514" t="s">
        <v>520</v>
      </c>
      <c r="AM90" s="515" t="s">
        <v>474</v>
      </c>
      <c r="AN90" s="515" t="s">
        <v>419</v>
      </c>
      <c r="AO90" s="515" t="s">
        <v>420</v>
      </c>
      <c r="AP90" s="515" t="s">
        <v>521</v>
      </c>
    </row>
    <row r="91" spans="1:42" ht="12.75" customHeight="1" x14ac:dyDescent="0.25">
      <c r="A91" s="602"/>
      <c r="B91" s="508" t="s">
        <v>526</v>
      </c>
      <c r="C91" s="527" t="s">
        <v>48</v>
      </c>
      <c r="D91" s="656">
        <v>3720971.9164</v>
      </c>
      <c r="E91" s="657">
        <v>1760319.8208959999</v>
      </c>
      <c r="F91" s="657">
        <v>2272251.1471656002</v>
      </c>
      <c r="G91" s="657">
        <v>1197256.5</v>
      </c>
      <c r="H91" s="644">
        <f t="shared" si="59"/>
        <v>8.5515715229145554E-4</v>
      </c>
      <c r="I91" s="788">
        <v>235.78808604906962</v>
      </c>
      <c r="J91" s="657">
        <v>154.28577799999999</v>
      </c>
      <c r="K91" s="657">
        <v>221.73530439999999</v>
      </c>
      <c r="L91" s="657">
        <v>37.456534370319801</v>
      </c>
      <c r="M91" s="644">
        <f t="shared" si="60"/>
        <v>1.339409860184641E-4</v>
      </c>
      <c r="N91" s="658">
        <v>0</v>
      </c>
      <c r="O91" s="659">
        <v>0</v>
      </c>
      <c r="P91" s="659">
        <v>0</v>
      </c>
      <c r="Q91" s="659">
        <v>0</v>
      </c>
      <c r="R91" s="660">
        <v>0</v>
      </c>
      <c r="S91" s="648">
        <v>0.84991257412547105</v>
      </c>
      <c r="T91" s="649">
        <v>0.39081035068894299</v>
      </c>
      <c r="U91" s="648">
        <v>1.0288226257522799</v>
      </c>
      <c r="V91" s="649">
        <v>0.76235269772793401</v>
      </c>
      <c r="W91" s="645">
        <v>0.76391814026724392</v>
      </c>
      <c r="X91" s="659">
        <v>0</v>
      </c>
      <c r="Y91" s="646">
        <v>0.66154807488681577</v>
      </c>
      <c r="Z91" s="659">
        <v>0.76391814026724392</v>
      </c>
      <c r="AA91" s="659">
        <v>0</v>
      </c>
      <c r="AB91" s="646">
        <v>0.66154807488681577</v>
      </c>
      <c r="AC91" s="659">
        <v>0</v>
      </c>
      <c r="AD91" s="659">
        <v>0</v>
      </c>
      <c r="AE91" s="660">
        <v>0</v>
      </c>
      <c r="AF91" s="645">
        <v>11.066035622461396</v>
      </c>
      <c r="AG91" s="659">
        <v>0</v>
      </c>
      <c r="AH91" s="646">
        <v>10.689185694441855</v>
      </c>
      <c r="AI91" s="659">
        <v>0</v>
      </c>
      <c r="AJ91" s="659">
        <v>0</v>
      </c>
      <c r="AK91" s="660">
        <v>0</v>
      </c>
      <c r="AL91" s="514" t="s">
        <v>520</v>
      </c>
      <c r="AM91" s="515" t="s">
        <v>474</v>
      </c>
      <c r="AN91" s="515" t="s">
        <v>419</v>
      </c>
      <c r="AO91" s="515" t="s">
        <v>420</v>
      </c>
      <c r="AP91" s="515" t="s">
        <v>521</v>
      </c>
    </row>
    <row r="92" spans="1:42" ht="12.75" customHeight="1" x14ac:dyDescent="0.25">
      <c r="A92" s="602"/>
      <c r="B92" s="508" t="s">
        <v>527</v>
      </c>
      <c r="C92" s="527" t="s">
        <v>49</v>
      </c>
      <c r="D92" s="661">
        <v>80100</v>
      </c>
      <c r="E92" s="662">
        <v>21378.71</v>
      </c>
      <c r="F92" s="662">
        <v>0</v>
      </c>
      <c r="G92" s="662">
        <v>12519</v>
      </c>
      <c r="H92" s="644">
        <f t="shared" si="59"/>
        <v>8.9418703423508098E-6</v>
      </c>
      <c r="I92" s="789">
        <v>16.698278541361677</v>
      </c>
      <c r="J92" s="662">
        <v>10.177239999999999</v>
      </c>
      <c r="K92" s="662">
        <v>0</v>
      </c>
      <c r="L92" s="662">
        <v>3.7422906171796302</v>
      </c>
      <c r="M92" s="644">
        <f t="shared" si="60"/>
        <v>1.3382073479544035E-5</v>
      </c>
      <c r="N92" s="663">
        <v>0</v>
      </c>
      <c r="O92" s="664">
        <v>0</v>
      </c>
      <c r="P92" s="664">
        <v>0</v>
      </c>
      <c r="Q92" s="664">
        <v>0</v>
      </c>
      <c r="R92" s="665">
        <v>0</v>
      </c>
      <c r="S92" s="648">
        <v>8.23138974131397E-2</v>
      </c>
      <c r="T92" s="649">
        <v>7.5665595906228997E-2</v>
      </c>
      <c r="U92" s="648">
        <v>9.7318597694474901E-2</v>
      </c>
      <c r="V92" s="649">
        <v>7.9138696098157796E-2</v>
      </c>
      <c r="W92" s="645">
        <v>0.83145904399658821</v>
      </c>
      <c r="X92" s="664">
        <v>0</v>
      </c>
      <c r="Y92" s="646">
        <v>0.65000002384185795</v>
      </c>
      <c r="Z92" s="664">
        <v>0.83145904399658821</v>
      </c>
      <c r="AA92" s="664">
        <v>0</v>
      </c>
      <c r="AB92" s="646">
        <v>0.65000002384185795</v>
      </c>
      <c r="AC92" s="664">
        <v>0</v>
      </c>
      <c r="AD92" s="664">
        <v>0</v>
      </c>
      <c r="AE92" s="665">
        <v>0</v>
      </c>
      <c r="AF92" s="645">
        <v>8.1638391652255926</v>
      </c>
      <c r="AG92" s="664">
        <v>0</v>
      </c>
      <c r="AH92" s="646">
        <v>12.000000000000007</v>
      </c>
      <c r="AI92" s="664">
        <v>0</v>
      </c>
      <c r="AJ92" s="664">
        <v>0</v>
      </c>
      <c r="AK92" s="665">
        <v>0</v>
      </c>
      <c r="AL92" s="514" t="s">
        <v>520</v>
      </c>
      <c r="AM92" s="515" t="s">
        <v>474</v>
      </c>
      <c r="AN92" s="515" t="s">
        <v>419</v>
      </c>
      <c r="AO92" s="515" t="s">
        <v>420</v>
      </c>
      <c r="AP92" s="515" t="s">
        <v>521</v>
      </c>
    </row>
    <row r="93" spans="1:42" ht="12.75" customHeight="1" x14ac:dyDescent="0.25">
      <c r="A93" s="602"/>
      <c r="B93" s="508" t="s">
        <v>528</v>
      </c>
      <c r="C93" s="527" t="s">
        <v>529</v>
      </c>
      <c r="D93" s="666">
        <v>0</v>
      </c>
      <c r="E93" s="667">
        <v>0</v>
      </c>
      <c r="F93" s="667">
        <v>0</v>
      </c>
      <c r="G93" s="667">
        <v>0</v>
      </c>
      <c r="H93" s="644">
        <f t="shared" si="59"/>
        <v>0</v>
      </c>
      <c r="I93" s="786">
        <v>0</v>
      </c>
      <c r="J93" s="667">
        <v>0</v>
      </c>
      <c r="K93" s="667">
        <v>0</v>
      </c>
      <c r="L93" s="667">
        <v>0</v>
      </c>
      <c r="M93" s="644">
        <f t="shared" si="60"/>
        <v>0</v>
      </c>
      <c r="N93" s="668">
        <v>0</v>
      </c>
      <c r="O93" s="669">
        <v>0</v>
      </c>
      <c r="P93" s="669">
        <v>0</v>
      </c>
      <c r="Q93" s="669">
        <v>0</v>
      </c>
      <c r="R93" s="670">
        <v>0</v>
      </c>
      <c r="S93" s="648">
        <v>0</v>
      </c>
      <c r="T93" s="649">
        <v>0</v>
      </c>
      <c r="U93" s="648">
        <v>0</v>
      </c>
      <c r="V93" s="649">
        <v>0</v>
      </c>
      <c r="W93" s="668">
        <v>0</v>
      </c>
      <c r="X93" s="669">
        <v>0</v>
      </c>
      <c r="Y93" s="669">
        <v>0</v>
      </c>
      <c r="Z93" s="669">
        <v>0</v>
      </c>
      <c r="AA93" s="669">
        <v>0</v>
      </c>
      <c r="AB93" s="646">
        <v>0</v>
      </c>
      <c r="AC93" s="669">
        <v>0</v>
      </c>
      <c r="AD93" s="669">
        <v>0</v>
      </c>
      <c r="AE93" s="670">
        <v>0</v>
      </c>
      <c r="AF93" s="645">
        <v>0</v>
      </c>
      <c r="AG93" s="669">
        <v>0</v>
      </c>
      <c r="AH93" s="646">
        <v>0</v>
      </c>
      <c r="AI93" s="669">
        <v>0</v>
      </c>
      <c r="AJ93" s="669">
        <v>0</v>
      </c>
      <c r="AK93" s="670">
        <v>0</v>
      </c>
      <c r="AL93" s="514" t="s">
        <v>520</v>
      </c>
      <c r="AM93" s="515" t="s">
        <v>474</v>
      </c>
      <c r="AN93" s="515" t="s">
        <v>434</v>
      </c>
      <c r="AO93" s="515" t="s">
        <v>420</v>
      </c>
      <c r="AP93" s="515" t="s">
        <v>521</v>
      </c>
    </row>
    <row r="94" spans="1:42" ht="12.75" customHeight="1" x14ac:dyDescent="0.25">
      <c r="A94" s="602"/>
      <c r="B94" s="508" t="s">
        <v>530</v>
      </c>
      <c r="C94" s="527" t="s">
        <v>50</v>
      </c>
      <c r="D94" s="666">
        <v>694532.90916600008</v>
      </c>
      <c r="E94" s="667">
        <v>1118471.5820460001</v>
      </c>
      <c r="F94" s="667">
        <v>922664.26500000013</v>
      </c>
      <c r="G94" s="667">
        <v>110106</v>
      </c>
      <c r="H94" s="644">
        <f t="shared" si="59"/>
        <v>7.864474605918031E-5</v>
      </c>
      <c r="I94" s="786">
        <v>176.98764323079897</v>
      </c>
      <c r="J94" s="667">
        <v>164.12596067999999</v>
      </c>
      <c r="K94" s="667">
        <v>136.41210000000001</v>
      </c>
      <c r="L94" s="667">
        <v>0</v>
      </c>
      <c r="M94" s="644">
        <f t="shared" si="60"/>
        <v>0</v>
      </c>
      <c r="N94" s="668">
        <v>0</v>
      </c>
      <c r="O94" s="669">
        <v>0</v>
      </c>
      <c r="P94" s="669">
        <v>0</v>
      </c>
      <c r="Q94" s="669">
        <v>0</v>
      </c>
      <c r="R94" s="670">
        <v>0</v>
      </c>
      <c r="S94" s="648">
        <v>1.0178277353031699</v>
      </c>
      <c r="T94" s="649">
        <v>0.27578786315927301</v>
      </c>
      <c r="U94" s="648">
        <v>2.40452835195198</v>
      </c>
      <c r="V94" s="649">
        <v>0.290345980670415</v>
      </c>
      <c r="W94" s="645">
        <v>0.65000002384185829</v>
      </c>
      <c r="X94" s="669">
        <v>0</v>
      </c>
      <c r="Y94" s="646">
        <v>0.65000002384185784</v>
      </c>
      <c r="Z94" s="669">
        <v>0.65000002384185829</v>
      </c>
      <c r="AA94" s="669">
        <v>0</v>
      </c>
      <c r="AB94" s="646">
        <v>0.65000002384185784</v>
      </c>
      <c r="AC94" s="669">
        <v>0</v>
      </c>
      <c r="AD94" s="669">
        <v>0</v>
      </c>
      <c r="AE94" s="670">
        <v>0</v>
      </c>
      <c r="AF94" s="645">
        <v>12.279195795161376</v>
      </c>
      <c r="AG94" s="669">
        <v>0</v>
      </c>
      <c r="AH94" s="646">
        <v>11.999999999999998</v>
      </c>
      <c r="AI94" s="669">
        <v>0</v>
      </c>
      <c r="AJ94" s="669">
        <v>0</v>
      </c>
      <c r="AK94" s="670">
        <v>0</v>
      </c>
      <c r="AL94" s="514" t="s">
        <v>520</v>
      </c>
      <c r="AM94" s="515" t="s">
        <v>474</v>
      </c>
      <c r="AN94" s="515" t="s">
        <v>419</v>
      </c>
      <c r="AO94" s="515" t="s">
        <v>420</v>
      </c>
      <c r="AP94" s="515" t="s">
        <v>521</v>
      </c>
    </row>
    <row r="95" spans="1:42" ht="12.75" customHeight="1" x14ac:dyDescent="0.25">
      <c r="A95" s="602"/>
      <c r="B95" s="508" t="s">
        <v>531</v>
      </c>
      <c r="C95" s="527" t="s">
        <v>51</v>
      </c>
      <c r="D95" s="666">
        <v>19717.320680000001</v>
      </c>
      <c r="E95" s="667">
        <v>8328.4563319999997</v>
      </c>
      <c r="F95" s="667">
        <v>0</v>
      </c>
      <c r="G95" s="667">
        <v>16178.4</v>
      </c>
      <c r="H95" s="644">
        <f t="shared" si="59"/>
        <v>1.1555647827037969E-5</v>
      </c>
      <c r="I95" s="786">
        <v>2.7295402641611957</v>
      </c>
      <c r="J95" s="667">
        <v>1.3014285800000001</v>
      </c>
      <c r="K95" s="667">
        <v>0</v>
      </c>
      <c r="L95" s="667">
        <v>0</v>
      </c>
      <c r="M95" s="644">
        <f t="shared" si="60"/>
        <v>0</v>
      </c>
      <c r="N95" s="668">
        <v>0</v>
      </c>
      <c r="O95" s="669">
        <v>0</v>
      </c>
      <c r="P95" s="669">
        <v>0</v>
      </c>
      <c r="Q95" s="669">
        <v>0</v>
      </c>
      <c r="R95" s="670">
        <v>0</v>
      </c>
      <c r="S95" s="648">
        <v>5.9591747122226098E-2</v>
      </c>
      <c r="T95" s="649">
        <v>6.6280117103858602E-2</v>
      </c>
      <c r="U95" s="648">
        <v>5.9779923496228599E-2</v>
      </c>
      <c r="V95" s="649">
        <v>6.9000411797492806E-2</v>
      </c>
      <c r="W95" s="645">
        <v>0.65000002384185762</v>
      </c>
      <c r="X95" s="669">
        <v>0</v>
      </c>
      <c r="Y95" s="646">
        <v>0.65000002384185707</v>
      </c>
      <c r="Z95" s="669">
        <v>0.65000002384185762</v>
      </c>
      <c r="AA95" s="669">
        <v>0</v>
      </c>
      <c r="AB95" s="646">
        <v>0.65000002384185707</v>
      </c>
      <c r="AC95" s="669">
        <v>0</v>
      </c>
      <c r="AD95" s="669">
        <v>0</v>
      </c>
      <c r="AE95" s="670">
        <v>0</v>
      </c>
      <c r="AF95" s="645">
        <v>8.2509178341284457</v>
      </c>
      <c r="AG95" s="669">
        <v>0</v>
      </c>
      <c r="AH95" s="646">
        <v>11.99999999999998</v>
      </c>
      <c r="AI95" s="669">
        <v>0</v>
      </c>
      <c r="AJ95" s="669">
        <v>0</v>
      </c>
      <c r="AK95" s="670">
        <v>0</v>
      </c>
      <c r="AL95" s="514" t="s">
        <v>520</v>
      </c>
      <c r="AM95" s="515" t="s">
        <v>474</v>
      </c>
      <c r="AN95" s="515" t="s">
        <v>419</v>
      </c>
      <c r="AO95" s="515" t="s">
        <v>420</v>
      </c>
      <c r="AP95" s="515" t="s">
        <v>521</v>
      </c>
    </row>
    <row r="96" spans="1:42" ht="12.75" customHeight="1" x14ac:dyDescent="0.25">
      <c r="A96" s="602"/>
      <c r="B96" s="508" t="s">
        <v>532</v>
      </c>
      <c r="C96" s="527" t="s">
        <v>52</v>
      </c>
      <c r="D96" s="642">
        <v>2605538.04</v>
      </c>
      <c r="E96" s="643">
        <v>356444.93</v>
      </c>
      <c r="F96" s="643">
        <v>1640865.7310000001</v>
      </c>
      <c r="G96" s="643">
        <v>5054661.5</v>
      </c>
      <c r="H96" s="644">
        <f t="shared" si="59"/>
        <v>3.6103624696439381E-3</v>
      </c>
      <c r="I96" s="785">
        <v>21.228566844259323</v>
      </c>
      <c r="J96" s="643">
        <v>27.099</v>
      </c>
      <c r="K96" s="643">
        <v>35.830800000000004</v>
      </c>
      <c r="L96" s="643">
        <v>341.44600000000003</v>
      </c>
      <c r="M96" s="644">
        <f t="shared" si="60"/>
        <v>1.2209782533511529E-3</v>
      </c>
      <c r="N96" s="645">
        <v>0</v>
      </c>
      <c r="O96" s="646">
        <v>0</v>
      </c>
      <c r="P96" s="646">
        <v>0</v>
      </c>
      <c r="Q96" s="646">
        <v>0</v>
      </c>
      <c r="R96" s="647">
        <v>0</v>
      </c>
      <c r="S96" s="648">
        <v>0.288855991019697</v>
      </c>
      <c r="T96" s="649">
        <v>0.77843161721434695</v>
      </c>
      <c r="U96" s="648">
        <v>0.60824713596273905</v>
      </c>
      <c r="V96" s="649">
        <v>1.3485968351878299</v>
      </c>
      <c r="W96" s="645">
        <v>0.77565590005252427</v>
      </c>
      <c r="X96" s="646">
        <v>0</v>
      </c>
      <c r="Y96" s="646">
        <v>0.65000000733387786</v>
      </c>
      <c r="Z96" s="646">
        <v>0.77565590005252427</v>
      </c>
      <c r="AA96" s="646">
        <v>0</v>
      </c>
      <c r="AB96" s="646">
        <v>0.65000000733387786</v>
      </c>
      <c r="AC96" s="646">
        <v>0</v>
      </c>
      <c r="AD96" s="646">
        <v>0</v>
      </c>
      <c r="AE96" s="647">
        <v>0</v>
      </c>
      <c r="AF96" s="645">
        <v>12.719611554020421</v>
      </c>
      <c r="AG96" s="646">
        <v>0</v>
      </c>
      <c r="AH96" s="646">
        <v>12.00000000000002</v>
      </c>
      <c r="AI96" s="646">
        <v>0</v>
      </c>
      <c r="AJ96" s="646">
        <v>0</v>
      </c>
      <c r="AK96" s="647">
        <v>0</v>
      </c>
      <c r="AL96" s="514" t="s">
        <v>520</v>
      </c>
      <c r="AM96" s="515" t="s">
        <v>474</v>
      </c>
      <c r="AN96" s="515" t="s">
        <v>419</v>
      </c>
      <c r="AO96" s="515" t="s">
        <v>420</v>
      </c>
      <c r="AP96" s="515" t="s">
        <v>521</v>
      </c>
    </row>
    <row r="97" spans="1:42" ht="12.75" customHeight="1" x14ac:dyDescent="0.25">
      <c r="A97" s="602"/>
      <c r="B97" s="508" t="s">
        <v>533</v>
      </c>
      <c r="C97" s="527" t="s">
        <v>53</v>
      </c>
      <c r="D97" s="666">
        <v>1099916.888</v>
      </c>
      <c r="E97" s="667">
        <v>1087771.2027970001</v>
      </c>
      <c r="F97" s="667">
        <v>1204014.9780000001</v>
      </c>
      <c r="G97" s="667">
        <v>1707002.6089999999</v>
      </c>
      <c r="H97" s="644">
        <f t="shared" si="59"/>
        <v>1.2192504196607201E-3</v>
      </c>
      <c r="I97" s="786">
        <v>48.328274762525638</v>
      </c>
      <c r="J97" s="667">
        <v>60.424126999999999</v>
      </c>
      <c r="K97" s="667">
        <v>0</v>
      </c>
      <c r="L97" s="667">
        <v>138.05385824939901</v>
      </c>
      <c r="M97" s="644">
        <f t="shared" si="60"/>
        <v>4.9366739898472627E-4</v>
      </c>
      <c r="N97" s="668">
        <v>0</v>
      </c>
      <c r="O97" s="669">
        <v>0</v>
      </c>
      <c r="P97" s="669">
        <v>0</v>
      </c>
      <c r="Q97" s="669">
        <v>0</v>
      </c>
      <c r="R97" s="670">
        <v>0</v>
      </c>
      <c r="S97" s="648">
        <v>0.62666168063050298</v>
      </c>
      <c r="T97" s="649">
        <v>0.66414780358477299</v>
      </c>
      <c r="U97" s="648">
        <v>1.0617453736093401</v>
      </c>
      <c r="V97" s="649">
        <v>1.12901639878219</v>
      </c>
      <c r="W97" s="645">
        <v>0.77262152960404773</v>
      </c>
      <c r="X97" s="669">
        <v>0</v>
      </c>
      <c r="Y97" s="646">
        <v>0.65000001371504645</v>
      </c>
      <c r="Z97" s="669">
        <v>0.77262152960404773</v>
      </c>
      <c r="AA97" s="669">
        <v>0</v>
      </c>
      <c r="AB97" s="646">
        <v>0.65000001371504645</v>
      </c>
      <c r="AC97" s="669">
        <v>0</v>
      </c>
      <c r="AD97" s="669">
        <v>0</v>
      </c>
      <c r="AE97" s="670">
        <v>0</v>
      </c>
      <c r="AF97" s="645">
        <v>8.8438351413601843</v>
      </c>
      <c r="AG97" s="669">
        <v>0</v>
      </c>
      <c r="AH97" s="646">
        <v>10.979286230636086</v>
      </c>
      <c r="AI97" s="669">
        <v>0</v>
      </c>
      <c r="AJ97" s="669">
        <v>0</v>
      </c>
      <c r="AK97" s="670">
        <v>0</v>
      </c>
      <c r="AL97" s="514" t="s">
        <v>520</v>
      </c>
      <c r="AM97" s="515" t="s">
        <v>474</v>
      </c>
      <c r="AN97" s="515" t="s">
        <v>419</v>
      </c>
      <c r="AO97" s="515" t="s">
        <v>420</v>
      </c>
      <c r="AP97" s="515" t="s">
        <v>521</v>
      </c>
    </row>
    <row r="98" spans="1:42" ht="12.75" customHeight="1" x14ac:dyDescent="0.25">
      <c r="A98" s="671"/>
      <c r="B98" s="508" t="s">
        <v>534</v>
      </c>
      <c r="C98" s="527" t="s">
        <v>54</v>
      </c>
      <c r="D98" s="666">
        <v>1782303.5963830003</v>
      </c>
      <c r="E98" s="667">
        <v>175509.67481200001</v>
      </c>
      <c r="F98" s="667">
        <v>782365.90469999996</v>
      </c>
      <c r="G98" s="667">
        <v>253152.62100000001</v>
      </c>
      <c r="H98" s="644">
        <f t="shared" si="59"/>
        <v>1.8081779006376509E-4</v>
      </c>
      <c r="I98" s="786">
        <v>264.3065313642652</v>
      </c>
      <c r="J98" s="667">
        <v>25.12178432</v>
      </c>
      <c r="K98" s="667">
        <v>92.026067000000012</v>
      </c>
      <c r="L98" s="667">
        <v>3.9128395980647599</v>
      </c>
      <c r="M98" s="644">
        <f t="shared" si="60"/>
        <v>1.3991940330501272E-5</v>
      </c>
      <c r="N98" s="668">
        <v>0</v>
      </c>
      <c r="O98" s="669">
        <v>0</v>
      </c>
      <c r="P98" s="669">
        <v>0</v>
      </c>
      <c r="Q98" s="669">
        <v>0</v>
      </c>
      <c r="R98" s="670">
        <v>0</v>
      </c>
      <c r="S98" s="648">
        <v>8.7772259755747498E-2</v>
      </c>
      <c r="T98" s="649">
        <v>0.30261916223169</v>
      </c>
      <c r="U98" s="648">
        <v>0.121853746117945</v>
      </c>
      <c r="V98" s="649">
        <v>0.34382846632272202</v>
      </c>
      <c r="W98" s="645">
        <v>0.7448254617389507</v>
      </c>
      <c r="X98" s="669">
        <v>0</v>
      </c>
      <c r="Y98" s="646">
        <v>0.65000002384185862</v>
      </c>
      <c r="Z98" s="669">
        <v>0.7448254617389507</v>
      </c>
      <c r="AA98" s="669">
        <v>0</v>
      </c>
      <c r="AB98" s="646">
        <v>0.65000002384185862</v>
      </c>
      <c r="AC98" s="669">
        <v>0</v>
      </c>
      <c r="AD98" s="669">
        <v>0</v>
      </c>
      <c r="AE98" s="670">
        <v>0</v>
      </c>
      <c r="AF98" s="645">
        <v>5.571108488285148</v>
      </c>
      <c r="AG98" s="669">
        <v>0</v>
      </c>
      <c r="AH98" s="646">
        <v>12.28156927516066</v>
      </c>
      <c r="AI98" s="669">
        <v>0</v>
      </c>
      <c r="AJ98" s="669">
        <v>0</v>
      </c>
      <c r="AK98" s="670">
        <v>0</v>
      </c>
      <c r="AL98" s="514" t="s">
        <v>520</v>
      </c>
      <c r="AM98" s="515" t="s">
        <v>474</v>
      </c>
      <c r="AN98" s="515" t="s">
        <v>419</v>
      </c>
      <c r="AO98" s="515" t="s">
        <v>420</v>
      </c>
      <c r="AP98" s="515" t="s">
        <v>521</v>
      </c>
    </row>
    <row r="99" spans="1:42" ht="12.75" customHeight="1" x14ac:dyDescent="0.25">
      <c r="A99" s="671"/>
      <c r="B99" s="508" t="s">
        <v>535</v>
      </c>
      <c r="C99" s="527" t="s">
        <v>55</v>
      </c>
      <c r="D99" s="666">
        <v>1597502.7</v>
      </c>
      <c r="E99" s="667">
        <v>521189.76048336498</v>
      </c>
      <c r="F99" s="667">
        <v>1799695.9475480001</v>
      </c>
      <c r="G99" s="667">
        <v>913640.76</v>
      </c>
      <c r="H99" s="644">
        <f t="shared" si="59"/>
        <v>6.5258065463749931E-4</v>
      </c>
      <c r="I99" s="786">
        <v>398.30683329000004</v>
      </c>
      <c r="J99" s="667">
        <v>41.5314038618681</v>
      </c>
      <c r="K99" s="667">
        <v>77.47778722000001</v>
      </c>
      <c r="L99" s="667">
        <v>19.779763143875702</v>
      </c>
      <c r="M99" s="644">
        <f t="shared" si="60"/>
        <v>7.0730542033319645E-5</v>
      </c>
      <c r="N99" s="668">
        <v>0</v>
      </c>
      <c r="O99" s="669">
        <v>0</v>
      </c>
      <c r="P99" s="669">
        <v>0</v>
      </c>
      <c r="Q99" s="669">
        <v>0</v>
      </c>
      <c r="R99" s="670">
        <v>0</v>
      </c>
      <c r="S99" s="648">
        <v>0.30101332294966898</v>
      </c>
      <c r="T99" s="649">
        <v>0.48187774155628799</v>
      </c>
      <c r="U99" s="648">
        <v>0.41472401230432798</v>
      </c>
      <c r="V99" s="649">
        <v>0.68306284615524004</v>
      </c>
      <c r="W99" s="645">
        <v>0.78143681291025324</v>
      </c>
      <c r="X99" s="669">
        <v>0</v>
      </c>
      <c r="Y99" s="646">
        <v>0.65000002384185773</v>
      </c>
      <c r="Z99" s="669">
        <v>0.78143681291025324</v>
      </c>
      <c r="AA99" s="669">
        <v>0</v>
      </c>
      <c r="AB99" s="646">
        <v>0.65000002384185773</v>
      </c>
      <c r="AC99" s="669">
        <v>0</v>
      </c>
      <c r="AD99" s="669">
        <v>0</v>
      </c>
      <c r="AE99" s="670">
        <v>0</v>
      </c>
      <c r="AF99" s="645">
        <v>11.788398527897105</v>
      </c>
      <c r="AG99" s="669">
        <v>0</v>
      </c>
      <c r="AH99" s="646">
        <v>11.717017099515923</v>
      </c>
      <c r="AI99" s="669">
        <v>0</v>
      </c>
      <c r="AJ99" s="669">
        <v>0</v>
      </c>
      <c r="AK99" s="670">
        <v>0</v>
      </c>
      <c r="AL99" s="514" t="s">
        <v>520</v>
      </c>
      <c r="AM99" s="515" t="s">
        <v>474</v>
      </c>
      <c r="AN99" s="515" t="s">
        <v>419</v>
      </c>
      <c r="AO99" s="515" t="s">
        <v>420</v>
      </c>
      <c r="AP99" s="515" t="s">
        <v>521</v>
      </c>
    </row>
    <row r="100" spans="1:42" ht="12.75" customHeight="1" x14ac:dyDescent="0.25">
      <c r="A100" s="671"/>
      <c r="B100" s="508" t="s">
        <v>536</v>
      </c>
      <c r="C100" s="527" t="s">
        <v>56</v>
      </c>
      <c r="D100" s="666">
        <v>494770.08</v>
      </c>
      <c r="E100" s="667">
        <v>396051.48</v>
      </c>
      <c r="F100" s="667">
        <v>200312.79000000004</v>
      </c>
      <c r="G100" s="667">
        <v>317790</v>
      </c>
      <c r="H100" s="644">
        <f t="shared" si="59"/>
        <v>2.2698593945967441E-4</v>
      </c>
      <c r="I100" s="786">
        <v>62.223826118737826</v>
      </c>
      <c r="J100" s="667">
        <v>16.559999999999999</v>
      </c>
      <c r="K100" s="667">
        <v>10.4772</v>
      </c>
      <c r="L100" s="667">
        <v>0</v>
      </c>
      <c r="M100" s="644">
        <f t="shared" si="60"/>
        <v>0</v>
      </c>
      <c r="N100" s="668">
        <v>0</v>
      </c>
      <c r="O100" s="669">
        <v>0</v>
      </c>
      <c r="P100" s="669">
        <v>0</v>
      </c>
      <c r="Q100" s="669">
        <v>0</v>
      </c>
      <c r="R100" s="670">
        <v>0</v>
      </c>
      <c r="S100" s="648">
        <v>0.421691782887123</v>
      </c>
      <c r="T100" s="649">
        <v>0.45575497630559098</v>
      </c>
      <c r="U100" s="648">
        <v>0.98956975836755101</v>
      </c>
      <c r="V100" s="649">
        <v>0.789342461560534</v>
      </c>
      <c r="W100" s="645">
        <v>0.82660331541395327</v>
      </c>
      <c r="X100" s="669">
        <v>0</v>
      </c>
      <c r="Y100" s="646">
        <v>0.65000002384185784</v>
      </c>
      <c r="Z100" s="669">
        <v>0.82660331541395327</v>
      </c>
      <c r="AA100" s="669">
        <v>0</v>
      </c>
      <c r="AB100" s="646">
        <v>0.65000002384185784</v>
      </c>
      <c r="AC100" s="669">
        <v>0</v>
      </c>
      <c r="AD100" s="669">
        <v>0</v>
      </c>
      <c r="AE100" s="670">
        <v>0</v>
      </c>
      <c r="AF100" s="645">
        <v>10.283498508830215</v>
      </c>
      <c r="AG100" s="669">
        <v>0</v>
      </c>
      <c r="AH100" s="646">
        <v>12.000000000000011</v>
      </c>
      <c r="AI100" s="669">
        <v>0</v>
      </c>
      <c r="AJ100" s="669">
        <v>0</v>
      </c>
      <c r="AK100" s="670">
        <v>0</v>
      </c>
      <c r="AL100" s="514" t="s">
        <v>520</v>
      </c>
      <c r="AM100" s="515" t="s">
        <v>474</v>
      </c>
      <c r="AN100" s="515" t="s">
        <v>419</v>
      </c>
      <c r="AO100" s="515" t="s">
        <v>420</v>
      </c>
      <c r="AP100" s="515" t="s">
        <v>521</v>
      </c>
    </row>
    <row r="101" spans="1:42" ht="12.75" customHeight="1" x14ac:dyDescent="0.25">
      <c r="A101" s="671"/>
      <c r="B101" s="508" t="s">
        <v>537</v>
      </c>
      <c r="C101" s="527" t="s">
        <v>57</v>
      </c>
      <c r="D101" s="666">
        <v>1732500</v>
      </c>
      <c r="E101" s="667">
        <v>327750.12</v>
      </c>
      <c r="F101" s="667">
        <v>1809351.0899999999</v>
      </c>
      <c r="G101" s="667">
        <v>252787.5</v>
      </c>
      <c r="H101" s="644">
        <f t="shared" si="59"/>
        <v>1.8055699729746828E-4</v>
      </c>
      <c r="I101" s="786">
        <v>197.4958993455536</v>
      </c>
      <c r="J101" s="667">
        <v>11.186999999999999</v>
      </c>
      <c r="K101" s="667">
        <v>214.44300000000001</v>
      </c>
      <c r="L101" s="667">
        <v>8.2448630136986303</v>
      </c>
      <c r="M101" s="644">
        <f t="shared" si="60"/>
        <v>2.9482841918151847E-5</v>
      </c>
      <c r="N101" s="668">
        <v>0</v>
      </c>
      <c r="O101" s="669">
        <v>0</v>
      </c>
      <c r="P101" s="669">
        <v>0</v>
      </c>
      <c r="Q101" s="669">
        <v>0</v>
      </c>
      <c r="R101" s="670">
        <v>0</v>
      </c>
      <c r="S101" s="648">
        <v>0.197567733622251</v>
      </c>
      <c r="T101" s="649">
        <v>0.28218824860500302</v>
      </c>
      <c r="U101" s="648">
        <v>0.30550109549356602</v>
      </c>
      <c r="V101" s="649">
        <v>0.37934452692835702</v>
      </c>
      <c r="W101" s="645">
        <v>0.76388541753016292</v>
      </c>
      <c r="X101" s="669">
        <v>0</v>
      </c>
      <c r="Y101" s="646">
        <v>0.65000002384185929</v>
      </c>
      <c r="Z101" s="669">
        <v>0.76388541753016292</v>
      </c>
      <c r="AA101" s="669">
        <v>0</v>
      </c>
      <c r="AB101" s="646">
        <v>0.65000002384185929</v>
      </c>
      <c r="AC101" s="669">
        <v>0</v>
      </c>
      <c r="AD101" s="669">
        <v>0</v>
      </c>
      <c r="AE101" s="670">
        <v>0</v>
      </c>
      <c r="AF101" s="645">
        <v>9.9805328217728793</v>
      </c>
      <c r="AG101" s="669">
        <v>0</v>
      </c>
      <c r="AH101" s="646">
        <v>10</v>
      </c>
      <c r="AI101" s="669">
        <v>0</v>
      </c>
      <c r="AJ101" s="669">
        <v>0</v>
      </c>
      <c r="AK101" s="670">
        <v>0</v>
      </c>
      <c r="AL101" s="514" t="s">
        <v>520</v>
      </c>
      <c r="AM101" s="515" t="s">
        <v>474</v>
      </c>
      <c r="AN101" s="515" t="s">
        <v>419</v>
      </c>
      <c r="AO101" s="515" t="s">
        <v>420</v>
      </c>
      <c r="AP101" s="515" t="s">
        <v>521</v>
      </c>
    </row>
    <row r="102" spans="1:42" ht="12.75" customHeight="1" x14ac:dyDescent="0.25">
      <c r="A102" s="671"/>
      <c r="B102" s="508" t="s">
        <v>538</v>
      </c>
      <c r="C102" s="527" t="s">
        <v>58</v>
      </c>
      <c r="D102" s="666">
        <v>774000</v>
      </c>
      <c r="E102" s="667">
        <v>236660.92629999999</v>
      </c>
      <c r="F102" s="667">
        <v>219679.36200000002</v>
      </c>
      <c r="G102" s="667">
        <v>173547.9</v>
      </c>
      <c r="H102" s="644">
        <f t="shared" si="59"/>
        <v>1.2395900790696256E-4</v>
      </c>
      <c r="I102" s="786">
        <v>126.27398226734479</v>
      </c>
      <c r="J102" s="667">
        <v>52.900693999999902</v>
      </c>
      <c r="K102" s="667">
        <v>79.704900000000009</v>
      </c>
      <c r="L102" s="667">
        <v>46.779734694800602</v>
      </c>
      <c r="M102" s="644">
        <f t="shared" si="60"/>
        <v>1.6727985906962731E-4</v>
      </c>
      <c r="N102" s="668">
        <v>0</v>
      </c>
      <c r="O102" s="669">
        <v>0</v>
      </c>
      <c r="P102" s="669">
        <v>0</v>
      </c>
      <c r="Q102" s="669">
        <v>0</v>
      </c>
      <c r="R102" s="670">
        <v>0</v>
      </c>
      <c r="S102" s="648">
        <v>0.24793282670741501</v>
      </c>
      <c r="T102" s="649">
        <v>0.222849066766757</v>
      </c>
      <c r="U102" s="648">
        <v>0.34985510691598398</v>
      </c>
      <c r="V102" s="649">
        <v>0.25587426825950299</v>
      </c>
      <c r="W102" s="645">
        <v>0.69263359904310073</v>
      </c>
      <c r="X102" s="669">
        <v>0</v>
      </c>
      <c r="Y102" s="646">
        <v>0.65000002384185573</v>
      </c>
      <c r="Z102" s="669">
        <v>0.69263359904310073</v>
      </c>
      <c r="AA102" s="669">
        <v>0</v>
      </c>
      <c r="AB102" s="646">
        <v>0.65000002384185573</v>
      </c>
      <c r="AC102" s="669">
        <v>0</v>
      </c>
      <c r="AD102" s="669">
        <v>0</v>
      </c>
      <c r="AE102" s="670">
        <v>0</v>
      </c>
      <c r="AF102" s="645">
        <v>5.4818767114746993</v>
      </c>
      <c r="AG102" s="669">
        <v>0</v>
      </c>
      <c r="AH102" s="646">
        <v>4.2637552880973164</v>
      </c>
      <c r="AI102" s="669">
        <v>0</v>
      </c>
      <c r="AJ102" s="669">
        <v>0</v>
      </c>
      <c r="AK102" s="670">
        <v>0</v>
      </c>
      <c r="AL102" s="514" t="s">
        <v>520</v>
      </c>
      <c r="AM102" s="515" t="s">
        <v>474</v>
      </c>
      <c r="AN102" s="515" t="s">
        <v>419</v>
      </c>
      <c r="AO102" s="515" t="s">
        <v>420</v>
      </c>
      <c r="AP102" s="515" t="s">
        <v>521</v>
      </c>
    </row>
    <row r="103" spans="1:42" ht="12.75" customHeight="1" x14ac:dyDescent="0.25">
      <c r="A103" s="671"/>
      <c r="B103" s="508" t="s">
        <v>539</v>
      </c>
      <c r="C103" s="527" t="s">
        <v>202</v>
      </c>
      <c r="D103" s="666">
        <v>233893.79869999998</v>
      </c>
      <c r="E103" s="667">
        <v>166892.29837618</v>
      </c>
      <c r="F103" s="667">
        <v>178661.61600000001</v>
      </c>
      <c r="G103" s="667">
        <v>77040</v>
      </c>
      <c r="H103" s="644">
        <f t="shared" ref="H103:H117" si="70">+G103/$G$123</f>
        <v>5.5026894414466526E-5</v>
      </c>
      <c r="I103" s="786">
        <v>0.81144909303686408</v>
      </c>
      <c r="J103" s="667">
        <v>45.559419618918</v>
      </c>
      <c r="K103" s="667">
        <v>45.715252500000005</v>
      </c>
      <c r="L103" s="667">
        <v>0</v>
      </c>
      <c r="M103" s="644">
        <f t="shared" ref="M103:M117" si="71">+L103/$L$123</f>
        <v>0</v>
      </c>
      <c r="N103" s="668">
        <v>0</v>
      </c>
      <c r="O103" s="669">
        <v>0</v>
      </c>
      <c r="P103" s="669">
        <v>0</v>
      </c>
      <c r="Q103" s="669">
        <v>0</v>
      </c>
      <c r="R103" s="670">
        <v>0</v>
      </c>
      <c r="S103" s="648">
        <v>0.133281183057742</v>
      </c>
      <c r="T103" s="649">
        <v>0.33898073134058598</v>
      </c>
      <c r="U103" s="648">
        <v>1.07900348110834</v>
      </c>
      <c r="V103" s="649">
        <v>0.422754703399427</v>
      </c>
      <c r="W103" s="645">
        <v>0.65000002384186106</v>
      </c>
      <c r="X103" s="669">
        <v>0</v>
      </c>
      <c r="Y103" s="646">
        <v>0.6500000238418574</v>
      </c>
      <c r="Z103" s="669">
        <v>0.65000002384186106</v>
      </c>
      <c r="AA103" s="669">
        <v>0</v>
      </c>
      <c r="AB103" s="646">
        <v>0.6500000238418574</v>
      </c>
      <c r="AC103" s="669">
        <v>0</v>
      </c>
      <c r="AD103" s="669">
        <v>0</v>
      </c>
      <c r="AE103" s="670">
        <v>0</v>
      </c>
      <c r="AF103" s="645">
        <v>0</v>
      </c>
      <c r="AG103" s="669">
        <v>0</v>
      </c>
      <c r="AH103" s="646">
        <v>12.000000000000014</v>
      </c>
      <c r="AI103" s="669">
        <v>0</v>
      </c>
      <c r="AJ103" s="669">
        <v>0</v>
      </c>
      <c r="AK103" s="670">
        <v>0</v>
      </c>
      <c r="AL103" s="514" t="s">
        <v>520</v>
      </c>
      <c r="AM103" s="515" t="s">
        <v>474</v>
      </c>
      <c r="AN103" s="515" t="s">
        <v>419</v>
      </c>
      <c r="AO103" s="515" t="s">
        <v>420</v>
      </c>
      <c r="AP103" s="515" t="s">
        <v>521</v>
      </c>
    </row>
    <row r="104" spans="1:42" ht="12.75" customHeight="1" x14ac:dyDescent="0.25">
      <c r="A104" s="671"/>
      <c r="B104" s="508" t="s">
        <v>540</v>
      </c>
      <c r="C104" s="527" t="s">
        <v>60</v>
      </c>
      <c r="D104" s="666">
        <v>379179.95958200027</v>
      </c>
      <c r="E104" s="667">
        <v>23178.959999999999</v>
      </c>
      <c r="F104" s="667">
        <v>1414915.4340000001</v>
      </c>
      <c r="G104" s="667">
        <v>278705.7</v>
      </c>
      <c r="H104" s="644">
        <f t="shared" si="70"/>
        <v>1.9906943310760622E-4</v>
      </c>
      <c r="I104" s="786">
        <v>56.855184378876601</v>
      </c>
      <c r="J104" s="667">
        <v>0</v>
      </c>
      <c r="K104" s="667">
        <v>36.624744000000007</v>
      </c>
      <c r="L104" s="667">
        <v>2.2700117255082</v>
      </c>
      <c r="M104" s="644">
        <f t="shared" si="71"/>
        <v>8.117344914562298E-6</v>
      </c>
      <c r="N104" s="668">
        <v>0</v>
      </c>
      <c r="O104" s="669">
        <v>0</v>
      </c>
      <c r="P104" s="669">
        <v>0</v>
      </c>
      <c r="Q104" s="669">
        <v>0</v>
      </c>
      <c r="R104" s="670">
        <v>0</v>
      </c>
      <c r="S104" s="648">
        <v>9.3349032388585093E-2</v>
      </c>
      <c r="T104" s="649">
        <v>0.37655561135267002</v>
      </c>
      <c r="U104" s="648">
        <v>0.108792598264668</v>
      </c>
      <c r="V104" s="649">
        <v>0.87908385834911595</v>
      </c>
      <c r="W104" s="645">
        <v>0.90000002384185929</v>
      </c>
      <c r="X104" s="669">
        <v>0</v>
      </c>
      <c r="Y104" s="646">
        <v>0.67037377171119927</v>
      </c>
      <c r="Z104" s="669">
        <v>0.90000002384185929</v>
      </c>
      <c r="AA104" s="669">
        <v>0</v>
      </c>
      <c r="AB104" s="646">
        <v>0.67037377171119927</v>
      </c>
      <c r="AC104" s="669">
        <v>0</v>
      </c>
      <c r="AD104" s="669">
        <v>0</v>
      </c>
      <c r="AE104" s="670">
        <v>0</v>
      </c>
      <c r="AF104" s="645">
        <v>12.000000000000002</v>
      </c>
      <c r="AG104" s="669">
        <v>0</v>
      </c>
      <c r="AH104" s="646">
        <v>7.8546802224039638</v>
      </c>
      <c r="AI104" s="669">
        <v>0</v>
      </c>
      <c r="AJ104" s="669">
        <v>0</v>
      </c>
      <c r="AK104" s="670">
        <v>0</v>
      </c>
      <c r="AL104" s="514" t="s">
        <v>520</v>
      </c>
      <c r="AM104" s="515" t="s">
        <v>474</v>
      </c>
      <c r="AN104" s="515" t="s">
        <v>419</v>
      </c>
      <c r="AO104" s="515" t="s">
        <v>420</v>
      </c>
      <c r="AP104" s="515" t="s">
        <v>521</v>
      </c>
    </row>
    <row r="105" spans="1:42" ht="12.75" customHeight="1" x14ac:dyDescent="0.25">
      <c r="A105" s="671"/>
      <c r="B105" s="508" t="s">
        <v>541</v>
      </c>
      <c r="C105" s="527" t="s">
        <v>89</v>
      </c>
      <c r="D105" s="666">
        <v>0</v>
      </c>
      <c r="E105" s="667">
        <v>0</v>
      </c>
      <c r="F105" s="667">
        <v>0</v>
      </c>
      <c r="G105" s="667">
        <v>0</v>
      </c>
      <c r="H105" s="644">
        <f t="shared" si="70"/>
        <v>0</v>
      </c>
      <c r="I105" s="786">
        <v>0</v>
      </c>
      <c r="J105" s="667">
        <v>0</v>
      </c>
      <c r="K105" s="667">
        <v>0</v>
      </c>
      <c r="L105" s="667">
        <v>0</v>
      </c>
      <c r="M105" s="644">
        <f t="shared" si="71"/>
        <v>0</v>
      </c>
      <c r="N105" s="668">
        <v>0</v>
      </c>
      <c r="O105" s="669">
        <v>0</v>
      </c>
      <c r="P105" s="669">
        <v>0</v>
      </c>
      <c r="Q105" s="669">
        <v>0</v>
      </c>
      <c r="R105" s="670">
        <v>0</v>
      </c>
      <c r="S105" s="648">
        <v>0</v>
      </c>
      <c r="T105" s="649">
        <v>0</v>
      </c>
      <c r="U105" s="648">
        <v>0</v>
      </c>
      <c r="V105" s="649">
        <v>0</v>
      </c>
      <c r="W105" s="668">
        <v>0</v>
      </c>
      <c r="X105" s="669">
        <v>0</v>
      </c>
      <c r="Y105" s="669">
        <v>0</v>
      </c>
      <c r="Z105" s="669">
        <v>0</v>
      </c>
      <c r="AA105" s="669">
        <v>0</v>
      </c>
      <c r="AB105" s="646">
        <v>0</v>
      </c>
      <c r="AC105" s="669">
        <v>0</v>
      </c>
      <c r="AD105" s="669">
        <v>0</v>
      </c>
      <c r="AE105" s="670">
        <v>0</v>
      </c>
      <c r="AF105" s="645">
        <v>0</v>
      </c>
      <c r="AG105" s="669">
        <v>0</v>
      </c>
      <c r="AH105" s="646">
        <v>0</v>
      </c>
      <c r="AI105" s="669">
        <v>0</v>
      </c>
      <c r="AJ105" s="669">
        <v>0</v>
      </c>
      <c r="AK105" s="670">
        <v>0</v>
      </c>
      <c r="AL105" s="514" t="s">
        <v>520</v>
      </c>
      <c r="AM105" s="515" t="s">
        <v>474</v>
      </c>
      <c r="AN105" s="515" t="s">
        <v>434</v>
      </c>
      <c r="AO105" s="515" t="s">
        <v>420</v>
      </c>
      <c r="AP105" s="515" t="s">
        <v>521</v>
      </c>
    </row>
    <row r="106" spans="1:42" ht="12.75" customHeight="1" x14ac:dyDescent="0.25">
      <c r="A106" s="671"/>
      <c r="B106" s="508" t="s">
        <v>183</v>
      </c>
      <c r="C106" s="527" t="s">
        <v>201</v>
      </c>
      <c r="D106" s="666">
        <v>0</v>
      </c>
      <c r="E106" s="667">
        <v>0</v>
      </c>
      <c r="F106" s="667">
        <v>6997.8934449392</v>
      </c>
      <c r="G106" s="667">
        <v>529727.25378599996</v>
      </c>
      <c r="H106" s="644">
        <f t="shared" si="70"/>
        <v>3.7836507869350378E-4</v>
      </c>
      <c r="I106" s="786">
        <v>0</v>
      </c>
      <c r="J106" s="667">
        <v>0</v>
      </c>
      <c r="K106" s="667">
        <v>1.7486603233113602</v>
      </c>
      <c r="L106" s="667">
        <v>101.144481704588</v>
      </c>
      <c r="M106" s="644">
        <f t="shared" si="71"/>
        <v>3.6168299704133447E-4</v>
      </c>
      <c r="N106" s="668">
        <v>0</v>
      </c>
      <c r="O106" s="669">
        <v>0</v>
      </c>
      <c r="P106" s="669">
        <v>0</v>
      </c>
      <c r="Q106" s="669">
        <v>0</v>
      </c>
      <c r="R106" s="670">
        <v>0</v>
      </c>
      <c r="S106" s="648">
        <v>0</v>
      </c>
      <c r="T106" s="649">
        <v>2.43010328983102</v>
      </c>
      <c r="U106" s="648">
        <v>0</v>
      </c>
      <c r="V106" s="649">
        <v>2.88443437610057</v>
      </c>
      <c r="W106" s="668">
        <v>0</v>
      </c>
      <c r="X106" s="669">
        <v>0</v>
      </c>
      <c r="Y106" s="646">
        <v>0.65000002384185807</v>
      </c>
      <c r="Z106" s="669">
        <v>0</v>
      </c>
      <c r="AA106" s="669">
        <v>0</v>
      </c>
      <c r="AB106" s="646">
        <v>0.65000002384185807</v>
      </c>
      <c r="AC106" s="669">
        <v>0</v>
      </c>
      <c r="AD106" s="669">
        <v>0</v>
      </c>
      <c r="AE106" s="670">
        <v>0</v>
      </c>
      <c r="AF106" s="645">
        <v>0</v>
      </c>
      <c r="AG106" s="669">
        <v>0</v>
      </c>
      <c r="AH106" s="646">
        <v>10.614293295145254</v>
      </c>
      <c r="AI106" s="669">
        <v>0</v>
      </c>
      <c r="AJ106" s="669">
        <v>0</v>
      </c>
      <c r="AK106" s="670">
        <v>0</v>
      </c>
      <c r="AL106" s="514" t="s">
        <v>520</v>
      </c>
      <c r="AM106" s="515" t="s">
        <v>474</v>
      </c>
      <c r="AN106" s="515" t="s">
        <v>419</v>
      </c>
      <c r="AO106" s="515" t="s">
        <v>420</v>
      </c>
      <c r="AP106" s="515" t="s">
        <v>521</v>
      </c>
    </row>
    <row r="107" spans="1:42" ht="12.75" customHeight="1" x14ac:dyDescent="0.25">
      <c r="A107" s="671"/>
      <c r="B107" s="508" t="s">
        <v>184</v>
      </c>
      <c r="C107" s="527" t="s">
        <v>67</v>
      </c>
      <c r="D107" s="666">
        <v>0</v>
      </c>
      <c r="E107" s="667">
        <v>0</v>
      </c>
      <c r="F107" s="667">
        <v>130500.501</v>
      </c>
      <c r="G107" s="667">
        <v>319377.69</v>
      </c>
      <c r="H107" s="644">
        <f t="shared" si="70"/>
        <v>2.2811996918440058E-4</v>
      </c>
      <c r="I107" s="786">
        <v>0</v>
      </c>
      <c r="J107" s="667">
        <v>0</v>
      </c>
      <c r="K107" s="667">
        <v>26.693891000000001</v>
      </c>
      <c r="L107" s="667">
        <v>23.445923024752499</v>
      </c>
      <c r="M107" s="644">
        <f t="shared" si="71"/>
        <v>8.3840379278034838E-5</v>
      </c>
      <c r="N107" s="668">
        <v>0</v>
      </c>
      <c r="O107" s="669">
        <v>0</v>
      </c>
      <c r="P107" s="669">
        <v>0</v>
      </c>
      <c r="Q107" s="669">
        <v>0</v>
      </c>
      <c r="R107" s="670">
        <v>0</v>
      </c>
      <c r="S107" s="648">
        <v>0</v>
      </c>
      <c r="T107" s="649">
        <v>1.3222616850201301</v>
      </c>
      <c r="U107" s="648">
        <v>0</v>
      </c>
      <c r="V107" s="649">
        <v>1.8035144246833901</v>
      </c>
      <c r="W107" s="668">
        <v>0</v>
      </c>
      <c r="X107" s="669">
        <v>0</v>
      </c>
      <c r="Y107" s="646">
        <v>0.6500000238418594</v>
      </c>
      <c r="Z107" s="669">
        <v>0</v>
      </c>
      <c r="AA107" s="669">
        <v>0</v>
      </c>
      <c r="AB107" s="646">
        <v>0.6500000238418594</v>
      </c>
      <c r="AC107" s="669">
        <v>0</v>
      </c>
      <c r="AD107" s="669">
        <v>0</v>
      </c>
      <c r="AE107" s="670">
        <v>0</v>
      </c>
      <c r="AF107" s="645">
        <v>0</v>
      </c>
      <c r="AG107" s="669">
        <v>0</v>
      </c>
      <c r="AH107" s="646">
        <v>11.624317027278863</v>
      </c>
      <c r="AI107" s="669">
        <v>0</v>
      </c>
      <c r="AJ107" s="669">
        <v>0</v>
      </c>
      <c r="AK107" s="670">
        <v>0</v>
      </c>
      <c r="AL107" s="514" t="s">
        <v>520</v>
      </c>
      <c r="AM107" s="515" t="s">
        <v>474</v>
      </c>
      <c r="AN107" s="515" t="s">
        <v>419</v>
      </c>
      <c r="AO107" s="515" t="s">
        <v>420</v>
      </c>
      <c r="AP107" s="515" t="s">
        <v>521</v>
      </c>
    </row>
    <row r="108" spans="1:42" ht="12.75" customHeight="1" x14ac:dyDescent="0.25">
      <c r="A108" s="671"/>
      <c r="B108" s="508" t="s">
        <v>542</v>
      </c>
      <c r="C108" s="527" t="s">
        <v>63</v>
      </c>
      <c r="D108" s="666">
        <v>2155500</v>
      </c>
      <c r="E108" s="667">
        <v>3389867.9693999998</v>
      </c>
      <c r="F108" s="667">
        <v>1515828.6993040002</v>
      </c>
      <c r="G108" s="667">
        <v>1127858.401361</v>
      </c>
      <c r="H108" s="644">
        <f t="shared" si="70"/>
        <v>8.0558859249949054E-4</v>
      </c>
      <c r="I108" s="786">
        <v>214.58239609554161</v>
      </c>
      <c r="J108" s="667">
        <v>332.96166588</v>
      </c>
      <c r="K108" s="667">
        <v>167.242954</v>
      </c>
      <c r="L108" s="667">
        <v>414.20412314285699</v>
      </c>
      <c r="M108" s="644">
        <f t="shared" si="71"/>
        <v>1.4811543459458049E-3</v>
      </c>
      <c r="N108" s="668">
        <v>0</v>
      </c>
      <c r="O108" s="669">
        <v>0</v>
      </c>
      <c r="P108" s="669">
        <v>0</v>
      </c>
      <c r="Q108" s="669">
        <v>0</v>
      </c>
      <c r="R108" s="670">
        <v>0</v>
      </c>
      <c r="S108" s="648">
        <v>0.72006147698989798</v>
      </c>
      <c r="T108" s="649">
        <v>0.73363616068760995</v>
      </c>
      <c r="U108" s="648">
        <v>2.0283853742210498</v>
      </c>
      <c r="V108" s="649">
        <v>0.96395737721016195</v>
      </c>
      <c r="W108" s="645">
        <v>0.7154372669334117</v>
      </c>
      <c r="X108" s="669">
        <v>0</v>
      </c>
      <c r="Y108" s="646">
        <v>0.65000002384185818</v>
      </c>
      <c r="Z108" s="669">
        <v>0.7154372669334117</v>
      </c>
      <c r="AA108" s="669">
        <v>0</v>
      </c>
      <c r="AB108" s="646">
        <v>0.65000002384185818</v>
      </c>
      <c r="AC108" s="669">
        <v>0</v>
      </c>
      <c r="AD108" s="669">
        <v>0</v>
      </c>
      <c r="AE108" s="670">
        <v>0</v>
      </c>
      <c r="AF108" s="645">
        <v>8.9921913036616932</v>
      </c>
      <c r="AG108" s="669">
        <v>0</v>
      </c>
      <c r="AH108" s="646">
        <v>9.6920312278991059</v>
      </c>
      <c r="AI108" s="669">
        <v>0</v>
      </c>
      <c r="AJ108" s="669">
        <v>0</v>
      </c>
      <c r="AK108" s="670">
        <v>0</v>
      </c>
      <c r="AL108" s="514" t="s">
        <v>520</v>
      </c>
      <c r="AM108" s="515" t="s">
        <v>474</v>
      </c>
      <c r="AN108" s="515" t="s">
        <v>419</v>
      </c>
      <c r="AO108" s="515" t="s">
        <v>420</v>
      </c>
      <c r="AP108" s="515" t="s">
        <v>521</v>
      </c>
    </row>
    <row r="109" spans="1:42" ht="12.75" customHeight="1" x14ac:dyDescent="0.25">
      <c r="A109" s="671"/>
      <c r="B109" s="508" t="s">
        <v>543</v>
      </c>
      <c r="C109" s="527" t="s">
        <v>64</v>
      </c>
      <c r="D109" s="666">
        <v>927000</v>
      </c>
      <c r="E109" s="667">
        <v>102452.85</v>
      </c>
      <c r="F109" s="667">
        <v>0</v>
      </c>
      <c r="G109" s="667">
        <v>60373</v>
      </c>
      <c r="H109" s="644">
        <f t="shared" si="70"/>
        <v>4.312225722332019E-5</v>
      </c>
      <c r="I109" s="786">
        <v>166.87064347709611</v>
      </c>
      <c r="J109" s="667">
        <v>21.582000000000001</v>
      </c>
      <c r="K109" s="667">
        <v>0</v>
      </c>
      <c r="L109" s="667">
        <v>2.1320000000000001</v>
      </c>
      <c r="M109" s="644">
        <f t="shared" si="71"/>
        <v>7.62382817823216E-6</v>
      </c>
      <c r="N109" s="668">
        <v>0</v>
      </c>
      <c r="O109" s="669">
        <v>0</v>
      </c>
      <c r="P109" s="669">
        <v>0</v>
      </c>
      <c r="Q109" s="669">
        <v>0</v>
      </c>
      <c r="R109" s="670">
        <v>0</v>
      </c>
      <c r="S109" s="648">
        <v>0.49399311187900202</v>
      </c>
      <c r="T109" s="649">
        <v>0.20234781008261901</v>
      </c>
      <c r="U109" s="648">
        <v>0.49025264742684699</v>
      </c>
      <c r="V109" s="649">
        <v>0.22072279281082099</v>
      </c>
      <c r="W109" s="645">
        <v>0.74999998807907153</v>
      </c>
      <c r="X109" s="669">
        <v>0</v>
      </c>
      <c r="Y109" s="646">
        <v>0.65000001521190598</v>
      </c>
      <c r="Z109" s="669">
        <v>0.74999998807907153</v>
      </c>
      <c r="AA109" s="669">
        <v>0</v>
      </c>
      <c r="AB109" s="646">
        <v>0.65000001521190598</v>
      </c>
      <c r="AC109" s="669">
        <v>0</v>
      </c>
      <c r="AD109" s="669">
        <v>0</v>
      </c>
      <c r="AE109" s="670">
        <v>0</v>
      </c>
      <c r="AF109" s="645">
        <v>13.299999999999999</v>
      </c>
      <c r="AG109" s="669">
        <v>0</v>
      </c>
      <c r="AH109" s="646">
        <v>12.000000000000005</v>
      </c>
      <c r="AI109" s="669">
        <v>0</v>
      </c>
      <c r="AJ109" s="669">
        <v>0</v>
      </c>
      <c r="AK109" s="670">
        <v>0</v>
      </c>
      <c r="AL109" s="514" t="s">
        <v>520</v>
      </c>
      <c r="AM109" s="515" t="s">
        <v>474</v>
      </c>
      <c r="AN109" s="515" t="s">
        <v>419</v>
      </c>
      <c r="AO109" s="515" t="s">
        <v>420</v>
      </c>
      <c r="AP109" s="515" t="s">
        <v>521</v>
      </c>
    </row>
    <row r="110" spans="1:42" ht="12.75" customHeight="1" x14ac:dyDescent="0.25">
      <c r="A110" s="671"/>
      <c r="B110" s="508" t="s">
        <v>544</v>
      </c>
      <c r="C110" s="527" t="s">
        <v>65</v>
      </c>
      <c r="D110" s="666">
        <v>927511.03551999992</v>
      </c>
      <c r="E110" s="667">
        <v>444691.60325163999</v>
      </c>
      <c r="F110" s="667">
        <v>128634.88</v>
      </c>
      <c r="G110" s="667">
        <v>237719.84578599999</v>
      </c>
      <c r="H110" s="644">
        <f t="shared" si="70"/>
        <v>1.6979471513875241E-4</v>
      </c>
      <c r="I110" s="786">
        <v>126.99790797842776</v>
      </c>
      <c r="J110" s="667">
        <v>152.85549612069201</v>
      </c>
      <c r="K110" s="667">
        <v>26.151140000000002</v>
      </c>
      <c r="L110" s="667">
        <v>64.677098999999998</v>
      </c>
      <c r="M110" s="644">
        <f t="shared" si="71"/>
        <v>2.3127912281543667E-4</v>
      </c>
      <c r="N110" s="668">
        <v>0</v>
      </c>
      <c r="O110" s="669">
        <v>0</v>
      </c>
      <c r="P110" s="669">
        <v>0</v>
      </c>
      <c r="Q110" s="669">
        <v>0</v>
      </c>
      <c r="R110" s="670">
        <v>0</v>
      </c>
      <c r="S110" s="648">
        <v>0.96810048193718701</v>
      </c>
      <c r="T110" s="649">
        <v>0.75893581876025695</v>
      </c>
      <c r="U110" s="648">
        <v>0.94287510015103904</v>
      </c>
      <c r="V110" s="649">
        <v>0.77243000125494699</v>
      </c>
      <c r="W110" s="645">
        <v>0.65142361666207527</v>
      </c>
      <c r="X110" s="669">
        <v>0</v>
      </c>
      <c r="Y110" s="646">
        <v>0.6500000147031898</v>
      </c>
      <c r="Z110" s="669">
        <v>0.65142361666207527</v>
      </c>
      <c r="AA110" s="669">
        <v>0</v>
      </c>
      <c r="AB110" s="646">
        <v>0.6500000147031898</v>
      </c>
      <c r="AC110" s="669">
        <v>0</v>
      </c>
      <c r="AD110" s="669">
        <v>0</v>
      </c>
      <c r="AE110" s="670">
        <v>0</v>
      </c>
      <c r="AF110" s="645">
        <v>13.905165449902698</v>
      </c>
      <c r="AG110" s="669">
        <v>0</v>
      </c>
      <c r="AH110" s="646">
        <v>14.652561607180385</v>
      </c>
      <c r="AI110" s="669">
        <v>0</v>
      </c>
      <c r="AJ110" s="669">
        <v>0</v>
      </c>
      <c r="AK110" s="670">
        <v>0</v>
      </c>
      <c r="AL110" s="514" t="s">
        <v>520</v>
      </c>
      <c r="AM110" s="515" t="s">
        <v>474</v>
      </c>
      <c r="AN110" s="515" t="s">
        <v>419</v>
      </c>
      <c r="AO110" s="515" t="s">
        <v>420</v>
      </c>
      <c r="AP110" s="515" t="s">
        <v>521</v>
      </c>
    </row>
    <row r="111" spans="1:42" ht="12.75" customHeight="1" x14ac:dyDescent="0.25">
      <c r="A111" s="671"/>
      <c r="B111" s="537" t="s">
        <v>584</v>
      </c>
      <c r="C111" s="527" t="s">
        <v>585</v>
      </c>
      <c r="D111" s="666">
        <v>0</v>
      </c>
      <c r="E111" s="667">
        <v>0</v>
      </c>
      <c r="F111" s="667">
        <v>0</v>
      </c>
      <c r="G111" s="667">
        <v>4353238.95</v>
      </c>
      <c r="H111" s="644">
        <f t="shared" si="70"/>
        <v>3.1093616311343862E-3</v>
      </c>
      <c r="I111" s="786">
        <v>0</v>
      </c>
      <c r="J111" s="667">
        <v>0</v>
      </c>
      <c r="K111" s="667">
        <v>0</v>
      </c>
      <c r="L111" s="667">
        <v>595.39592500000003</v>
      </c>
      <c r="M111" s="644">
        <f t="shared" si="71"/>
        <v>2.1290789072324584E-3</v>
      </c>
      <c r="N111" s="668">
        <v>0</v>
      </c>
      <c r="O111" s="669">
        <v>0</v>
      </c>
      <c r="P111" s="669">
        <v>0</v>
      </c>
      <c r="Q111" s="669">
        <v>0</v>
      </c>
      <c r="R111" s="670">
        <v>0</v>
      </c>
      <c r="S111" s="648">
        <v>0</v>
      </c>
      <c r="T111" s="649">
        <v>1.89</v>
      </c>
      <c r="U111" s="648">
        <v>0</v>
      </c>
      <c r="V111" s="649">
        <v>2.5299999999999998</v>
      </c>
      <c r="W111" s="668">
        <v>0</v>
      </c>
      <c r="X111" s="669">
        <v>0</v>
      </c>
      <c r="Y111" s="669">
        <v>0</v>
      </c>
      <c r="Z111" s="669">
        <v>0</v>
      </c>
      <c r="AA111" s="669">
        <v>0</v>
      </c>
      <c r="AB111" s="646">
        <v>0</v>
      </c>
      <c r="AC111" s="669">
        <v>0</v>
      </c>
      <c r="AD111" s="669">
        <v>0</v>
      </c>
      <c r="AE111" s="670">
        <v>0</v>
      </c>
      <c r="AF111" s="668">
        <v>0</v>
      </c>
      <c r="AG111" s="669">
        <v>0</v>
      </c>
      <c r="AH111" s="669">
        <v>0</v>
      </c>
      <c r="AI111" s="669">
        <v>0</v>
      </c>
      <c r="AJ111" s="669">
        <v>0</v>
      </c>
      <c r="AK111" s="670">
        <v>0</v>
      </c>
      <c r="AL111" s="538" t="s">
        <v>516</v>
      </c>
      <c r="AM111" s="539" t="s">
        <v>474</v>
      </c>
      <c r="AN111" s="539" t="s">
        <v>419</v>
      </c>
      <c r="AO111" s="539" t="s">
        <v>437</v>
      </c>
      <c r="AP111" s="539" t="s">
        <v>583</v>
      </c>
    </row>
    <row r="112" spans="1:42" ht="12.75" customHeight="1" x14ac:dyDescent="0.25">
      <c r="A112" s="671"/>
      <c r="B112" s="522" t="s">
        <v>545</v>
      </c>
      <c r="C112" s="523" t="s">
        <v>546</v>
      </c>
      <c r="D112" s="634">
        <f>SUM(D113:D117)</f>
        <v>24136914.721061796</v>
      </c>
      <c r="E112" s="634">
        <f t="shared" ref="E112:G112" si="72">SUM(E113:E117)</f>
        <v>19604872.166742001</v>
      </c>
      <c r="F112" s="634">
        <f t="shared" si="72"/>
        <v>15147831.259289999</v>
      </c>
      <c r="G112" s="634">
        <f t="shared" si="72"/>
        <v>11236285.076159999</v>
      </c>
      <c r="H112" s="636">
        <f t="shared" si="70"/>
        <v>8.0256733190122304E-3</v>
      </c>
      <c r="I112" s="784">
        <f>SUM(I113:I117)</f>
        <v>3447.4970135690482</v>
      </c>
      <c r="J112" s="635">
        <f>SUM(J113:J117)</f>
        <v>2539.9198660000002</v>
      </c>
      <c r="K112" s="635">
        <f>SUM(K113:K117)</f>
        <v>1613.9392309999998</v>
      </c>
      <c r="L112" s="635">
        <f>SUM(L113:L117)</f>
        <v>1467.6394919274371</v>
      </c>
      <c r="M112" s="636">
        <f t="shared" si="71"/>
        <v>5.2481385150294204E-3</v>
      </c>
      <c r="N112" s="637">
        <v>0</v>
      </c>
      <c r="O112" s="638">
        <v>0</v>
      </c>
      <c r="P112" s="638">
        <v>0</v>
      </c>
      <c r="Q112" s="638">
        <v>0</v>
      </c>
      <c r="R112" s="639">
        <v>0</v>
      </c>
      <c r="S112" s="640">
        <f>AVERAGE(S113:S116)</f>
        <v>0.63988594069480342</v>
      </c>
      <c r="T112" s="641"/>
      <c r="U112" s="640"/>
      <c r="V112" s="641"/>
      <c r="W112" s="637"/>
      <c r="X112" s="638"/>
      <c r="Y112" s="638"/>
      <c r="Z112" s="638"/>
      <c r="AA112" s="638"/>
      <c r="AB112" s="638"/>
      <c r="AC112" s="638"/>
      <c r="AD112" s="638"/>
      <c r="AE112" s="639"/>
      <c r="AF112" s="637"/>
      <c r="AG112" s="638"/>
      <c r="AH112" s="638"/>
      <c r="AI112" s="638"/>
      <c r="AJ112" s="638"/>
      <c r="AK112" s="639"/>
      <c r="AL112" s="524" t="s">
        <v>520</v>
      </c>
      <c r="AM112" s="525" t="s">
        <v>474</v>
      </c>
      <c r="AN112" s="535">
        <v>0</v>
      </c>
      <c r="AO112" s="535">
        <v>0</v>
      </c>
      <c r="AP112" s="525" t="s">
        <v>521</v>
      </c>
    </row>
    <row r="113" spans="1:42" ht="12.75" customHeight="1" x14ac:dyDescent="0.25">
      <c r="A113" s="671"/>
      <c r="B113" s="508" t="s">
        <v>547</v>
      </c>
      <c r="C113" s="509" t="s">
        <v>61</v>
      </c>
      <c r="D113" s="666">
        <v>5850000</v>
      </c>
      <c r="E113" s="667">
        <v>7734645.0514000002</v>
      </c>
      <c r="F113" s="667">
        <v>6114633.3499999996</v>
      </c>
      <c r="G113" s="667">
        <v>3831333.3</v>
      </c>
      <c r="H113" s="644">
        <f t="shared" si="70"/>
        <v>2.736583242026604E-3</v>
      </c>
      <c r="I113" s="786">
        <v>1067.4042885306567</v>
      </c>
      <c r="J113" s="667">
        <v>1202.6665499999999</v>
      </c>
      <c r="K113" s="667">
        <v>807.95500000000004</v>
      </c>
      <c r="L113" s="667">
        <v>790.79053196291204</v>
      </c>
      <c r="M113" s="644">
        <f t="shared" si="71"/>
        <v>2.8277913417720673E-3</v>
      </c>
      <c r="N113" s="668">
        <v>0</v>
      </c>
      <c r="O113" s="669">
        <v>0</v>
      </c>
      <c r="P113" s="669">
        <v>0</v>
      </c>
      <c r="Q113" s="669">
        <v>0</v>
      </c>
      <c r="R113" s="670">
        <v>0</v>
      </c>
      <c r="S113" s="648">
        <v>0.51020344831128694</v>
      </c>
      <c r="T113" s="649">
        <v>0.95730300160986204</v>
      </c>
      <c r="U113" s="648">
        <v>2.0735984211435499</v>
      </c>
      <c r="V113" s="649">
        <v>1.2472363333173</v>
      </c>
      <c r="W113" s="645">
        <v>0.85256394232221433</v>
      </c>
      <c r="X113" s="669">
        <v>0</v>
      </c>
      <c r="Y113" s="646">
        <v>0.65110595123359272</v>
      </c>
      <c r="Z113" s="669">
        <v>0.85256394232221433</v>
      </c>
      <c r="AA113" s="669">
        <v>0</v>
      </c>
      <c r="AB113" s="646">
        <v>0.65110595123359272</v>
      </c>
      <c r="AC113" s="669">
        <v>0</v>
      </c>
      <c r="AD113" s="669">
        <v>0</v>
      </c>
      <c r="AE113" s="670">
        <v>0</v>
      </c>
      <c r="AF113" s="645">
        <v>11.771477862293084</v>
      </c>
      <c r="AG113" s="669">
        <v>0</v>
      </c>
      <c r="AH113" s="646">
        <v>11.785643848881628</v>
      </c>
      <c r="AI113" s="669">
        <v>0</v>
      </c>
      <c r="AJ113" s="669">
        <v>0</v>
      </c>
      <c r="AK113" s="670">
        <v>0</v>
      </c>
      <c r="AL113" s="514" t="s">
        <v>520</v>
      </c>
      <c r="AM113" s="515" t="s">
        <v>474</v>
      </c>
      <c r="AN113" s="515" t="s">
        <v>419</v>
      </c>
      <c r="AO113" s="515" t="s">
        <v>420</v>
      </c>
      <c r="AP113" s="515" t="s">
        <v>521</v>
      </c>
    </row>
    <row r="114" spans="1:42" ht="12.75" customHeight="1" x14ac:dyDescent="0.25">
      <c r="A114" s="671"/>
      <c r="B114" s="508" t="s">
        <v>548</v>
      </c>
      <c r="C114" s="509" t="s">
        <v>62</v>
      </c>
      <c r="D114" s="666">
        <v>1526005.6735</v>
      </c>
      <c r="E114" s="667">
        <v>1277253.8999999999</v>
      </c>
      <c r="F114" s="667">
        <v>2842862.4</v>
      </c>
      <c r="G114" s="667">
        <v>2409031.7999999998</v>
      </c>
      <c r="H114" s="644">
        <f t="shared" si="70"/>
        <v>1.7206845599648524E-3</v>
      </c>
      <c r="I114" s="786">
        <v>92.452627735161258</v>
      </c>
      <c r="J114" s="667">
        <v>154.57499999999999</v>
      </c>
      <c r="K114" s="667">
        <v>0</v>
      </c>
      <c r="L114" s="667">
        <v>34.873739999999998</v>
      </c>
      <c r="M114" s="644">
        <f t="shared" si="71"/>
        <v>1.2470516026845307E-4</v>
      </c>
      <c r="N114" s="668">
        <v>0</v>
      </c>
      <c r="O114" s="669">
        <v>0</v>
      </c>
      <c r="P114" s="669">
        <v>0</v>
      </c>
      <c r="Q114" s="669">
        <v>0</v>
      </c>
      <c r="R114" s="670">
        <v>0</v>
      </c>
      <c r="S114" s="648">
        <v>0.76938991932343703</v>
      </c>
      <c r="T114" s="649">
        <v>1.00028196433897</v>
      </c>
      <c r="U114" s="648">
        <v>1.86930298329964</v>
      </c>
      <c r="V114" s="649">
        <v>1.48936350460051</v>
      </c>
      <c r="W114" s="645">
        <v>0.69398695542027944</v>
      </c>
      <c r="X114" s="669">
        <v>0</v>
      </c>
      <c r="Y114" s="646">
        <v>0.65833908985600775</v>
      </c>
      <c r="Z114" s="669">
        <v>0.69398695542027944</v>
      </c>
      <c r="AA114" s="669">
        <v>0</v>
      </c>
      <c r="AB114" s="646">
        <v>0.65833908985600775</v>
      </c>
      <c r="AC114" s="669">
        <v>0</v>
      </c>
      <c r="AD114" s="669">
        <v>0</v>
      </c>
      <c r="AE114" s="670">
        <v>0</v>
      </c>
      <c r="AF114" s="645">
        <v>15.000000000000002</v>
      </c>
      <c r="AG114" s="669">
        <v>0</v>
      </c>
      <c r="AH114" s="646">
        <v>12.013944303456709</v>
      </c>
      <c r="AI114" s="669">
        <v>0</v>
      </c>
      <c r="AJ114" s="669">
        <v>0</v>
      </c>
      <c r="AK114" s="670">
        <v>0</v>
      </c>
      <c r="AL114" s="514" t="s">
        <v>520</v>
      </c>
      <c r="AM114" s="515" t="s">
        <v>474</v>
      </c>
      <c r="AN114" s="515" t="s">
        <v>419</v>
      </c>
      <c r="AO114" s="515" t="s">
        <v>420</v>
      </c>
      <c r="AP114" s="515" t="s">
        <v>521</v>
      </c>
    </row>
    <row r="115" spans="1:42" ht="12.75" customHeight="1" x14ac:dyDescent="0.25">
      <c r="A115" s="671"/>
      <c r="B115" s="508" t="s">
        <v>549</v>
      </c>
      <c r="C115" s="527" t="s">
        <v>66</v>
      </c>
      <c r="D115" s="666">
        <v>1900011.3470000001</v>
      </c>
      <c r="E115" s="667">
        <v>842242.5</v>
      </c>
      <c r="F115" s="667">
        <v>681107.75063999998</v>
      </c>
      <c r="G115" s="667">
        <v>970039.97615999996</v>
      </c>
      <c r="H115" s="644">
        <f t="shared" si="70"/>
        <v>6.9286458133395565E-4</v>
      </c>
      <c r="I115" s="786">
        <v>325.89549207958873</v>
      </c>
      <c r="J115" s="667">
        <v>62.613</v>
      </c>
      <c r="K115" s="667">
        <v>103.076331</v>
      </c>
      <c r="L115" s="667">
        <v>175.22158703939999</v>
      </c>
      <c r="M115" s="644">
        <f t="shared" si="71"/>
        <v>6.2657564385813162E-4</v>
      </c>
      <c r="N115" s="668">
        <v>0</v>
      </c>
      <c r="O115" s="669">
        <v>0</v>
      </c>
      <c r="P115" s="669">
        <v>0</v>
      </c>
      <c r="Q115" s="669">
        <v>0</v>
      </c>
      <c r="R115" s="670">
        <v>0</v>
      </c>
      <c r="S115" s="648">
        <v>0.62346613757580005</v>
      </c>
      <c r="T115" s="649">
        <v>0.71560418181846197</v>
      </c>
      <c r="U115" s="648">
        <v>1.06500701703623</v>
      </c>
      <c r="V115" s="649">
        <v>0.86415306241203405</v>
      </c>
      <c r="W115" s="645">
        <v>0.90000002273455804</v>
      </c>
      <c r="X115" s="669">
        <v>0</v>
      </c>
      <c r="Y115" s="646">
        <v>0.66982351496224446</v>
      </c>
      <c r="Z115" s="669">
        <v>0.90000002273455804</v>
      </c>
      <c r="AA115" s="669">
        <v>0</v>
      </c>
      <c r="AB115" s="646">
        <v>0.66982351496224446</v>
      </c>
      <c r="AC115" s="669">
        <v>0</v>
      </c>
      <c r="AD115" s="669">
        <v>0</v>
      </c>
      <c r="AE115" s="670">
        <v>0</v>
      </c>
      <c r="AF115" s="645">
        <v>11.9577307723132</v>
      </c>
      <c r="AG115" s="669">
        <v>0</v>
      </c>
      <c r="AH115" s="646">
        <v>6.7382605946234264</v>
      </c>
      <c r="AI115" s="669">
        <v>0</v>
      </c>
      <c r="AJ115" s="669">
        <v>0</v>
      </c>
      <c r="AK115" s="670">
        <v>0</v>
      </c>
      <c r="AL115" s="514" t="s">
        <v>520</v>
      </c>
      <c r="AM115" s="515" t="s">
        <v>474</v>
      </c>
      <c r="AN115" s="515" t="s">
        <v>419</v>
      </c>
      <c r="AO115" s="515" t="s">
        <v>420</v>
      </c>
      <c r="AP115" s="515" t="s">
        <v>521</v>
      </c>
    </row>
    <row r="116" spans="1:42" ht="12.75" customHeight="1" x14ac:dyDescent="0.25">
      <c r="A116" s="671"/>
      <c r="B116" s="508" t="s">
        <v>550</v>
      </c>
      <c r="C116" s="509" t="s">
        <v>551</v>
      </c>
      <c r="D116" s="666">
        <v>10254612.977493493</v>
      </c>
      <c r="E116" s="667">
        <v>9750730.7153420001</v>
      </c>
      <c r="F116" s="667">
        <v>5509227.7586500002</v>
      </c>
      <c r="G116" s="667">
        <v>4025880</v>
      </c>
      <c r="H116" s="644">
        <f t="shared" si="70"/>
        <v>2.8755409356868182E-3</v>
      </c>
      <c r="I116" s="786">
        <v>1346.5147712291973</v>
      </c>
      <c r="J116" s="667">
        <v>1120.0653159999999</v>
      </c>
      <c r="K116" s="667">
        <v>702.90789999999993</v>
      </c>
      <c r="L116" s="667">
        <v>466.75363292512498</v>
      </c>
      <c r="M116" s="644">
        <f t="shared" si="71"/>
        <v>1.6690663691307681E-3</v>
      </c>
      <c r="N116" s="668">
        <v>0</v>
      </c>
      <c r="O116" s="669">
        <v>0</v>
      </c>
      <c r="P116" s="669">
        <v>0</v>
      </c>
      <c r="Q116" s="669">
        <v>0</v>
      </c>
      <c r="R116" s="670">
        <v>0</v>
      </c>
      <c r="S116" s="648">
        <v>0.65648425756869</v>
      </c>
      <c r="T116" s="649">
        <v>1.02434553242574</v>
      </c>
      <c r="U116" s="648">
        <v>2.4604568612904498</v>
      </c>
      <c r="V116" s="649">
        <v>1.48621993165059</v>
      </c>
      <c r="W116" s="645">
        <v>0.8449869776056762</v>
      </c>
      <c r="X116" s="669">
        <v>0</v>
      </c>
      <c r="Y116" s="646">
        <v>0.64258473563186691</v>
      </c>
      <c r="Z116" s="669">
        <v>0.8449869776056762</v>
      </c>
      <c r="AA116" s="669">
        <v>0</v>
      </c>
      <c r="AB116" s="646">
        <v>0.64258473563186691</v>
      </c>
      <c r="AC116" s="669">
        <v>0</v>
      </c>
      <c r="AD116" s="669">
        <v>0</v>
      </c>
      <c r="AE116" s="670">
        <v>0</v>
      </c>
      <c r="AF116" s="645">
        <v>8.4841523297575172</v>
      </c>
      <c r="AG116" s="669">
        <v>0</v>
      </c>
      <c r="AH116" s="646">
        <v>12.614749962019751</v>
      </c>
      <c r="AI116" s="669">
        <v>0</v>
      </c>
      <c r="AJ116" s="669">
        <v>0</v>
      </c>
      <c r="AK116" s="670">
        <v>0</v>
      </c>
      <c r="AL116" s="514" t="s">
        <v>520</v>
      </c>
      <c r="AM116" s="515" t="s">
        <v>474</v>
      </c>
      <c r="AN116" s="515" t="s">
        <v>419</v>
      </c>
      <c r="AO116" s="515" t="s">
        <v>420</v>
      </c>
      <c r="AP116" s="515" t="s">
        <v>521</v>
      </c>
    </row>
    <row r="117" spans="1:42" ht="12.75" customHeight="1" x14ac:dyDescent="0.25">
      <c r="A117" s="671"/>
      <c r="B117" s="508" t="s">
        <v>552</v>
      </c>
      <c r="C117" s="509" t="s">
        <v>553</v>
      </c>
      <c r="D117" s="666">
        <v>4606284.7230683044</v>
      </c>
      <c r="E117" s="667">
        <v>0</v>
      </c>
      <c r="F117" s="667">
        <v>0</v>
      </c>
      <c r="G117" s="667">
        <v>0</v>
      </c>
      <c r="H117" s="644">
        <f t="shared" si="70"/>
        <v>0</v>
      </c>
      <c r="I117" s="786">
        <v>615.22983399444411</v>
      </c>
      <c r="J117" s="667">
        <v>0</v>
      </c>
      <c r="K117" s="667">
        <v>0</v>
      </c>
      <c r="L117" s="667">
        <v>0</v>
      </c>
      <c r="M117" s="644">
        <f t="shared" si="71"/>
        <v>0</v>
      </c>
      <c r="N117" s="668">
        <v>0</v>
      </c>
      <c r="O117" s="669">
        <v>0</v>
      </c>
      <c r="P117" s="669">
        <v>0</v>
      </c>
      <c r="Q117" s="669">
        <v>0</v>
      </c>
      <c r="R117" s="670">
        <v>0</v>
      </c>
      <c r="S117" s="648">
        <v>0</v>
      </c>
      <c r="T117" s="649">
        <v>0</v>
      </c>
      <c r="U117" s="648">
        <v>0</v>
      </c>
      <c r="V117" s="649">
        <v>0</v>
      </c>
      <c r="W117" s="668">
        <v>0</v>
      </c>
      <c r="X117" s="669">
        <v>0</v>
      </c>
      <c r="Y117" s="669">
        <v>0</v>
      </c>
      <c r="Z117" s="669">
        <v>0</v>
      </c>
      <c r="AA117" s="669">
        <v>0</v>
      </c>
      <c r="AB117" s="646">
        <v>0</v>
      </c>
      <c r="AC117" s="669">
        <v>0</v>
      </c>
      <c r="AD117" s="669">
        <v>0</v>
      </c>
      <c r="AE117" s="670">
        <v>0</v>
      </c>
      <c r="AF117" s="668">
        <v>0</v>
      </c>
      <c r="AG117" s="669">
        <v>0</v>
      </c>
      <c r="AH117" s="669">
        <v>0</v>
      </c>
      <c r="AI117" s="669">
        <v>0</v>
      </c>
      <c r="AJ117" s="669">
        <v>0</v>
      </c>
      <c r="AK117" s="670">
        <v>0</v>
      </c>
      <c r="AL117" s="514" t="s">
        <v>520</v>
      </c>
      <c r="AM117" s="515" t="s">
        <v>474</v>
      </c>
      <c r="AN117" s="515" t="s">
        <v>419</v>
      </c>
      <c r="AO117" s="515" t="s">
        <v>431</v>
      </c>
      <c r="AP117" s="515" t="s">
        <v>521</v>
      </c>
    </row>
    <row r="118" spans="1:42" ht="12.75" customHeight="1" x14ac:dyDescent="0.25">
      <c r="A118" s="671"/>
      <c r="B118" s="537"/>
      <c r="C118" s="527"/>
      <c r="D118" s="666"/>
      <c r="E118" s="667"/>
      <c r="F118" s="667"/>
      <c r="G118" s="667"/>
      <c r="H118" s="644"/>
      <c r="I118" s="786"/>
      <c r="J118" s="667"/>
      <c r="K118" s="667"/>
      <c r="L118" s="667"/>
      <c r="M118" s="644"/>
      <c r="N118" s="668"/>
      <c r="O118" s="669"/>
      <c r="P118" s="669"/>
      <c r="Q118" s="669"/>
      <c r="R118" s="670"/>
      <c r="S118" s="672"/>
      <c r="T118" s="673"/>
      <c r="U118" s="674"/>
      <c r="V118" s="675"/>
      <c r="W118" s="674"/>
      <c r="X118" s="676"/>
      <c r="Y118" s="676"/>
      <c r="Z118" s="676"/>
      <c r="AA118" s="676"/>
      <c r="AB118" s="676"/>
      <c r="AC118" s="676"/>
      <c r="AD118" s="676"/>
      <c r="AE118" s="675"/>
      <c r="AF118" s="674"/>
      <c r="AG118" s="676"/>
      <c r="AH118" s="676"/>
      <c r="AI118" s="676"/>
      <c r="AJ118" s="676"/>
      <c r="AK118" s="675"/>
      <c r="AL118" s="538"/>
      <c r="AM118" s="539"/>
      <c r="AN118" s="539"/>
      <c r="AO118" s="539"/>
      <c r="AP118" s="539"/>
    </row>
    <row r="119" spans="1:42" ht="12.75" customHeight="1" x14ac:dyDescent="0.25">
      <c r="A119" s="671"/>
      <c r="B119" s="541"/>
      <c r="C119" s="542"/>
      <c r="D119" s="666"/>
      <c r="E119" s="667"/>
      <c r="F119" s="667"/>
      <c r="G119" s="667"/>
      <c r="H119" s="677"/>
      <c r="I119" s="786"/>
      <c r="J119" s="667"/>
      <c r="K119" s="667"/>
      <c r="L119" s="667"/>
      <c r="M119" s="677"/>
      <c r="N119" s="668"/>
      <c r="O119" s="669"/>
      <c r="P119" s="669"/>
      <c r="Q119" s="669"/>
      <c r="R119" s="670"/>
      <c r="S119" s="672"/>
      <c r="T119" s="673"/>
      <c r="U119" s="668"/>
      <c r="V119" s="670"/>
      <c r="W119" s="674"/>
      <c r="X119" s="676"/>
      <c r="Y119" s="676"/>
      <c r="Z119" s="676"/>
      <c r="AA119" s="676"/>
      <c r="AB119" s="676"/>
      <c r="AC119" s="676"/>
      <c r="AD119" s="676"/>
      <c r="AE119" s="675"/>
      <c r="AF119" s="674"/>
      <c r="AG119" s="676"/>
      <c r="AH119" s="676"/>
      <c r="AI119" s="676"/>
      <c r="AJ119" s="676"/>
      <c r="AK119" s="675"/>
      <c r="AL119" s="538"/>
      <c r="AM119" s="539"/>
      <c r="AN119" s="543"/>
      <c r="AO119" s="543"/>
      <c r="AP119" s="539"/>
    </row>
    <row r="120" spans="1:42" ht="12.75" customHeight="1" x14ac:dyDescent="0.25">
      <c r="A120" s="671"/>
      <c r="B120" s="537"/>
      <c r="C120" s="523" t="s">
        <v>626</v>
      </c>
      <c r="D120" s="634">
        <v>0</v>
      </c>
      <c r="E120" s="634">
        <v>0</v>
      </c>
      <c r="F120" s="634">
        <v>0</v>
      </c>
      <c r="G120" s="634">
        <v>0</v>
      </c>
      <c r="H120" s="636">
        <f>+G120/$G$123</f>
        <v>0</v>
      </c>
      <c r="I120" s="784">
        <v>0</v>
      </c>
      <c r="J120" s="635">
        <v>0</v>
      </c>
      <c r="K120" s="635">
        <v>0</v>
      </c>
      <c r="L120" s="635">
        <v>0</v>
      </c>
      <c r="M120" s="636">
        <f>+L120/$L$123</f>
        <v>0</v>
      </c>
      <c r="N120" s="637">
        <v>0</v>
      </c>
      <c r="O120" s="638">
        <v>0</v>
      </c>
      <c r="P120" s="638">
        <v>0</v>
      </c>
      <c r="Q120" s="638">
        <v>0</v>
      </c>
      <c r="R120" s="639">
        <v>0</v>
      </c>
      <c r="S120" s="640"/>
      <c r="T120" s="641">
        <v>0</v>
      </c>
      <c r="U120" s="637">
        <v>0</v>
      </c>
      <c r="V120" s="639">
        <v>0</v>
      </c>
      <c r="W120" s="637">
        <v>0</v>
      </c>
      <c r="X120" s="638">
        <v>0</v>
      </c>
      <c r="Y120" s="638">
        <v>0</v>
      </c>
      <c r="Z120" s="638">
        <v>0</v>
      </c>
      <c r="AA120" s="638">
        <v>0</v>
      </c>
      <c r="AB120" s="638">
        <v>0</v>
      </c>
      <c r="AC120" s="638">
        <v>0</v>
      </c>
      <c r="AD120" s="638">
        <v>0</v>
      </c>
      <c r="AE120" s="639">
        <v>0</v>
      </c>
      <c r="AF120" s="637">
        <v>0</v>
      </c>
      <c r="AG120" s="638">
        <v>0</v>
      </c>
      <c r="AH120" s="638">
        <v>0</v>
      </c>
      <c r="AI120" s="638">
        <v>0</v>
      </c>
      <c r="AJ120" s="638">
        <v>0</v>
      </c>
      <c r="AK120" s="639">
        <v>0</v>
      </c>
      <c r="AL120" s="551" t="s">
        <v>235</v>
      </c>
      <c r="AM120" s="530"/>
      <c r="AN120" s="552" t="s">
        <v>235</v>
      </c>
      <c r="AO120" s="552" t="s">
        <v>420</v>
      </c>
      <c r="AP120" s="530" t="s">
        <v>235</v>
      </c>
    </row>
    <row r="121" spans="1:42" ht="12.75" customHeight="1" x14ac:dyDescent="0.25">
      <c r="A121" s="671"/>
      <c r="B121" s="537" t="s">
        <v>588</v>
      </c>
      <c r="C121" s="527" t="s">
        <v>589</v>
      </c>
      <c r="D121" s="666">
        <v>0</v>
      </c>
      <c r="E121" s="667">
        <v>0</v>
      </c>
      <c r="F121" s="667">
        <v>0</v>
      </c>
      <c r="G121" s="667">
        <v>0</v>
      </c>
      <c r="H121" s="677">
        <v>0</v>
      </c>
      <c r="I121" s="786">
        <v>0</v>
      </c>
      <c r="J121" s="667">
        <v>0</v>
      </c>
      <c r="K121" s="667">
        <v>0</v>
      </c>
      <c r="L121" s="667">
        <v>0</v>
      </c>
      <c r="M121" s="677">
        <v>0</v>
      </c>
      <c r="N121" s="668">
        <v>0</v>
      </c>
      <c r="O121" s="669">
        <v>0</v>
      </c>
      <c r="P121" s="669">
        <v>0</v>
      </c>
      <c r="Q121" s="669">
        <v>0</v>
      </c>
      <c r="R121" s="670">
        <v>0</v>
      </c>
      <c r="S121" s="672">
        <v>0</v>
      </c>
      <c r="T121" s="673">
        <v>0</v>
      </c>
      <c r="U121" s="668">
        <v>0</v>
      </c>
      <c r="V121" s="670">
        <v>0</v>
      </c>
      <c r="W121" s="668">
        <v>0</v>
      </c>
      <c r="X121" s="669">
        <v>0</v>
      </c>
      <c r="Y121" s="669">
        <v>0</v>
      </c>
      <c r="Z121" s="669">
        <v>0</v>
      </c>
      <c r="AA121" s="669">
        <v>0</v>
      </c>
      <c r="AB121" s="669">
        <v>0</v>
      </c>
      <c r="AC121" s="669">
        <v>0</v>
      </c>
      <c r="AD121" s="669">
        <v>0</v>
      </c>
      <c r="AE121" s="670">
        <v>0</v>
      </c>
      <c r="AF121" s="668">
        <v>0</v>
      </c>
      <c r="AG121" s="669">
        <v>0</v>
      </c>
      <c r="AH121" s="669">
        <v>0</v>
      </c>
      <c r="AI121" s="669">
        <v>0</v>
      </c>
      <c r="AJ121" s="669">
        <v>0</v>
      </c>
      <c r="AK121" s="670">
        <v>0</v>
      </c>
      <c r="AL121" s="538" t="s">
        <v>516</v>
      </c>
      <c r="AM121" s="539" t="s">
        <v>474</v>
      </c>
      <c r="AN121" s="539" t="s">
        <v>419</v>
      </c>
      <c r="AO121" s="539" t="s">
        <v>420</v>
      </c>
      <c r="AP121" s="539" t="s">
        <v>583</v>
      </c>
    </row>
    <row r="122" spans="1:42" ht="12.75" customHeight="1" x14ac:dyDescent="0.25">
      <c r="A122" s="671"/>
      <c r="B122" s="537" t="s">
        <v>590</v>
      </c>
      <c r="C122" s="527" t="s">
        <v>591</v>
      </c>
      <c r="D122" s="666">
        <v>0</v>
      </c>
      <c r="E122" s="667">
        <v>0</v>
      </c>
      <c r="F122" s="667">
        <v>0</v>
      </c>
      <c r="G122" s="667">
        <v>0</v>
      </c>
      <c r="H122" s="677">
        <v>0</v>
      </c>
      <c r="I122" s="786">
        <v>0</v>
      </c>
      <c r="J122" s="667">
        <v>0</v>
      </c>
      <c r="K122" s="667">
        <v>0</v>
      </c>
      <c r="L122" s="667">
        <v>0</v>
      </c>
      <c r="M122" s="677">
        <v>0</v>
      </c>
      <c r="N122" s="668">
        <v>0</v>
      </c>
      <c r="O122" s="669">
        <v>0</v>
      </c>
      <c r="P122" s="669">
        <v>0</v>
      </c>
      <c r="Q122" s="669">
        <v>0</v>
      </c>
      <c r="R122" s="670">
        <v>0</v>
      </c>
      <c r="S122" s="672">
        <v>0</v>
      </c>
      <c r="T122" s="673">
        <v>0</v>
      </c>
      <c r="U122" s="668">
        <v>0</v>
      </c>
      <c r="V122" s="670">
        <v>0</v>
      </c>
      <c r="W122" s="668">
        <v>0</v>
      </c>
      <c r="X122" s="669">
        <v>0</v>
      </c>
      <c r="Y122" s="669">
        <v>0</v>
      </c>
      <c r="Z122" s="669">
        <v>0</v>
      </c>
      <c r="AA122" s="669">
        <v>0</v>
      </c>
      <c r="AB122" s="669">
        <v>0</v>
      </c>
      <c r="AC122" s="669">
        <v>0</v>
      </c>
      <c r="AD122" s="669">
        <v>0</v>
      </c>
      <c r="AE122" s="670">
        <v>0</v>
      </c>
      <c r="AF122" s="668">
        <v>0</v>
      </c>
      <c r="AG122" s="669">
        <v>0</v>
      </c>
      <c r="AH122" s="669">
        <v>0</v>
      </c>
      <c r="AI122" s="669">
        <v>0</v>
      </c>
      <c r="AJ122" s="669">
        <v>0</v>
      </c>
      <c r="AK122" s="670">
        <v>0</v>
      </c>
      <c r="AL122" s="538" t="s">
        <v>516</v>
      </c>
      <c r="AM122" s="539" t="s">
        <v>474</v>
      </c>
      <c r="AN122" s="539" t="s">
        <v>419</v>
      </c>
      <c r="AO122" s="539" t="s">
        <v>437</v>
      </c>
      <c r="AP122" s="539" t="s">
        <v>583</v>
      </c>
    </row>
    <row r="123" spans="1:42" ht="12.75" customHeight="1" x14ac:dyDescent="0.25">
      <c r="A123" s="671"/>
      <c r="B123" s="544"/>
      <c r="C123" s="545" t="s">
        <v>627</v>
      </c>
      <c r="D123" s="678">
        <f t="shared" ref="D123:M123" si="73">SUM(D112+D83+D79+D75+D69+D64+D59+D50+D45+D34+D23+D21+D19+D15+D7)</f>
        <v>1041911127.0499276</v>
      </c>
      <c r="E123" s="678">
        <f t="shared" si="73"/>
        <v>1526630553.1366949</v>
      </c>
      <c r="F123" s="678">
        <f t="shared" si="73"/>
        <v>1317635972.1224942</v>
      </c>
      <c r="G123" s="678">
        <f t="shared" si="73"/>
        <v>1400042666.7681658</v>
      </c>
      <c r="H123" s="779">
        <f t="shared" si="73"/>
        <v>0.99999999999999978</v>
      </c>
      <c r="I123" s="790">
        <f t="shared" si="73"/>
        <v>183563.79064187885</v>
      </c>
      <c r="J123" s="678">
        <f t="shared" si="73"/>
        <v>307118.11209636624</v>
      </c>
      <c r="K123" s="678">
        <f t="shared" si="73"/>
        <v>269339.23830299085</v>
      </c>
      <c r="L123" s="678">
        <f t="shared" si="73"/>
        <v>279649.53434907761</v>
      </c>
      <c r="M123" s="779">
        <f t="shared" si="73"/>
        <v>1</v>
      </c>
      <c r="N123" s="678">
        <f t="shared" ref="N123:R123" si="74">SUM(N112+N83+N79+N75+N69+N64+N59+N50+N45+N34+N23+N21+N19+N15+N7)</f>
        <v>0</v>
      </c>
      <c r="O123" s="678">
        <f t="shared" si="74"/>
        <v>0</v>
      </c>
      <c r="P123" s="678">
        <f t="shared" si="74"/>
        <v>0</v>
      </c>
      <c r="Q123" s="678">
        <f t="shared" si="74"/>
        <v>0</v>
      </c>
      <c r="R123" s="678">
        <f t="shared" si="74"/>
        <v>0</v>
      </c>
      <c r="S123" s="682">
        <v>1.36</v>
      </c>
      <c r="T123" s="683">
        <v>1.74</v>
      </c>
      <c r="U123" s="679">
        <v>2.2545868043128423</v>
      </c>
      <c r="V123" s="681">
        <v>4.13</v>
      </c>
      <c r="W123" s="679">
        <v>0.68281709537000035</v>
      </c>
      <c r="X123" s="680">
        <v>0</v>
      </c>
      <c r="Y123" s="680">
        <v>0.70264728006979227</v>
      </c>
      <c r="Z123" s="680">
        <v>0.68281709537000035</v>
      </c>
      <c r="AA123" s="680">
        <v>0</v>
      </c>
      <c r="AB123" s="680">
        <v>0.70264728006979227</v>
      </c>
      <c r="AC123" s="680">
        <v>0</v>
      </c>
      <c r="AD123" s="680">
        <v>0</v>
      </c>
      <c r="AE123" s="681">
        <v>0</v>
      </c>
      <c r="AF123" s="679">
        <v>11.171286726650223</v>
      </c>
      <c r="AG123" s="680">
        <v>0</v>
      </c>
      <c r="AH123" s="680">
        <v>8.0535640027471267</v>
      </c>
      <c r="AI123" s="680">
        <v>0</v>
      </c>
      <c r="AJ123" s="680">
        <v>0</v>
      </c>
      <c r="AK123" s="681">
        <v>0</v>
      </c>
      <c r="AL123" s="548"/>
      <c r="AM123" s="545"/>
      <c r="AN123" s="549"/>
      <c r="AO123" s="549"/>
      <c r="AP123" s="545"/>
    </row>
    <row r="124" spans="1:42" ht="12.75" customHeight="1" x14ac:dyDescent="0.3">
      <c r="A124" s="671"/>
      <c r="B124" s="561"/>
      <c r="C124" s="562"/>
      <c r="D124" s="684"/>
      <c r="E124" s="685"/>
      <c r="F124" s="685"/>
      <c r="G124" s="685"/>
      <c r="H124" s="686"/>
      <c r="I124" s="791"/>
      <c r="J124" s="685"/>
      <c r="K124" s="685"/>
      <c r="L124" s="685"/>
      <c r="M124" s="686"/>
      <c r="N124" s="687"/>
      <c r="O124" s="688"/>
      <c r="P124" s="688"/>
      <c r="Q124" s="688"/>
      <c r="R124" s="689"/>
      <c r="S124" s="690"/>
      <c r="T124" s="691"/>
      <c r="U124" s="687"/>
      <c r="V124" s="689"/>
      <c r="W124" s="687"/>
      <c r="X124" s="688"/>
      <c r="Y124" s="688"/>
      <c r="Z124" s="688"/>
      <c r="AA124" s="688"/>
      <c r="AB124" s="688"/>
      <c r="AC124" s="688"/>
      <c r="AD124" s="688"/>
      <c r="AE124" s="689"/>
      <c r="AF124" s="687"/>
      <c r="AG124" s="688"/>
      <c r="AH124" s="688"/>
      <c r="AI124" s="688"/>
      <c r="AJ124" s="688"/>
      <c r="AK124" s="689"/>
      <c r="AL124" s="514"/>
      <c r="AM124" s="515"/>
      <c r="AN124" s="543"/>
      <c r="AO124" s="543"/>
      <c r="AP124" s="515"/>
    </row>
    <row r="125" spans="1:42" ht="12.75" customHeight="1" x14ac:dyDescent="0.25">
      <c r="A125" s="671"/>
      <c r="B125" s="537" t="s">
        <v>593</v>
      </c>
      <c r="C125" s="523" t="s">
        <v>195</v>
      </c>
      <c r="D125" s="634">
        <v>24298365.498260878</v>
      </c>
      <c r="E125" s="635">
        <v>1673208</v>
      </c>
      <c r="F125" s="635">
        <v>2139476.75</v>
      </c>
      <c r="G125" s="635">
        <v>9557264.2521855701</v>
      </c>
      <c r="H125" s="636"/>
      <c r="I125" s="784">
        <v>3680.2698986890746</v>
      </c>
      <c r="J125" s="635">
        <v>1044</v>
      </c>
      <c r="K125" s="635">
        <v>1258.19</v>
      </c>
      <c r="L125" s="635">
        <v>9518.0259800000022</v>
      </c>
      <c r="M125" s="636"/>
      <c r="N125" s="637">
        <v>0</v>
      </c>
      <c r="O125" s="638">
        <v>0</v>
      </c>
      <c r="P125" s="638">
        <v>0</v>
      </c>
      <c r="Q125" s="638">
        <v>0</v>
      </c>
      <c r="R125" s="639">
        <v>0</v>
      </c>
      <c r="S125" s="640">
        <v>0</v>
      </c>
      <c r="T125" s="641">
        <v>0</v>
      </c>
      <c r="U125" s="637">
        <v>0</v>
      </c>
      <c r="V125" s="639">
        <v>0</v>
      </c>
      <c r="W125" s="637">
        <v>0</v>
      </c>
      <c r="X125" s="638">
        <v>0</v>
      </c>
      <c r="Y125" s="638">
        <v>0</v>
      </c>
      <c r="Z125" s="638">
        <v>0</v>
      </c>
      <c r="AA125" s="638">
        <v>0</v>
      </c>
      <c r="AB125" s="638">
        <v>0</v>
      </c>
      <c r="AC125" s="638">
        <v>0</v>
      </c>
      <c r="AD125" s="638">
        <v>0</v>
      </c>
      <c r="AE125" s="639">
        <v>0</v>
      </c>
      <c r="AF125" s="637">
        <v>0</v>
      </c>
      <c r="AG125" s="638">
        <v>0</v>
      </c>
      <c r="AH125" s="638">
        <v>0</v>
      </c>
      <c r="AI125" s="638">
        <v>0</v>
      </c>
      <c r="AJ125" s="638">
        <v>0</v>
      </c>
      <c r="AK125" s="639">
        <v>0</v>
      </c>
      <c r="AL125" s="551" t="s">
        <v>594</v>
      </c>
      <c r="AM125" s="530" t="s">
        <v>474</v>
      </c>
      <c r="AN125" s="525" t="s">
        <v>236</v>
      </c>
      <c r="AO125" s="525" t="s">
        <v>420</v>
      </c>
      <c r="AP125" s="530" t="s">
        <v>594</v>
      </c>
    </row>
    <row r="126" spans="1:42" ht="12.75" customHeight="1" x14ac:dyDescent="0.3">
      <c r="A126" s="671"/>
      <c r="B126" s="534"/>
      <c r="C126" s="568"/>
      <c r="D126" s="684"/>
      <c r="E126" s="685"/>
      <c r="F126" s="685"/>
      <c r="G126" s="685"/>
      <c r="H126" s="686"/>
      <c r="I126" s="791"/>
      <c r="J126" s="685"/>
      <c r="K126" s="685"/>
      <c r="L126" s="685"/>
      <c r="M126" s="686"/>
      <c r="N126" s="687"/>
      <c r="O126" s="688"/>
      <c r="P126" s="688"/>
      <c r="Q126" s="688"/>
      <c r="R126" s="689"/>
      <c r="S126" s="690"/>
      <c r="T126" s="691"/>
      <c r="U126" s="687"/>
      <c r="V126" s="689"/>
      <c r="W126" s="687"/>
      <c r="X126" s="688"/>
      <c r="Y126" s="688"/>
      <c r="Z126" s="688"/>
      <c r="AA126" s="688"/>
      <c r="AB126" s="688"/>
      <c r="AC126" s="688"/>
      <c r="AD126" s="688"/>
      <c r="AE126" s="689"/>
      <c r="AF126" s="687"/>
      <c r="AG126" s="688"/>
      <c r="AH126" s="688"/>
      <c r="AI126" s="688"/>
      <c r="AJ126" s="688"/>
      <c r="AK126" s="689"/>
      <c r="AL126" s="569"/>
      <c r="AM126" s="570"/>
      <c r="AN126" s="570"/>
      <c r="AO126" s="570"/>
      <c r="AP126" s="570"/>
    </row>
    <row r="127" spans="1:42" ht="12.75" customHeight="1" thickBot="1" x14ac:dyDescent="0.3">
      <c r="A127" s="671"/>
      <c r="B127" s="572"/>
      <c r="C127" s="573" t="s">
        <v>595</v>
      </c>
      <c r="D127" s="692">
        <f>+D125+D123</f>
        <v>1066209492.5481884</v>
      </c>
      <c r="E127" s="692">
        <f t="shared" ref="E127:G127" si="75">+E125+E123</f>
        <v>1528303761.1366949</v>
      </c>
      <c r="F127" s="692">
        <f t="shared" si="75"/>
        <v>1319775448.8724942</v>
      </c>
      <c r="G127" s="692">
        <f t="shared" si="75"/>
        <v>1409599931.0203514</v>
      </c>
      <c r="H127" s="693"/>
      <c r="I127" s="792">
        <f>+I125+I123</f>
        <v>187244.06054056791</v>
      </c>
      <c r="J127" s="692">
        <f t="shared" ref="J127:L127" si="76">+J125+J123</f>
        <v>308162.11209636624</v>
      </c>
      <c r="K127" s="692">
        <f t="shared" si="76"/>
        <v>270597.42830299085</v>
      </c>
      <c r="L127" s="692">
        <f t="shared" si="76"/>
        <v>289167.56032907759</v>
      </c>
      <c r="M127" s="693"/>
      <c r="N127" s="694">
        <v>0</v>
      </c>
      <c r="O127" s="695">
        <v>0</v>
      </c>
      <c r="P127" s="695">
        <v>0</v>
      </c>
      <c r="Q127" s="695">
        <v>0</v>
      </c>
      <c r="R127" s="696">
        <v>0</v>
      </c>
      <c r="S127" s="697">
        <v>0</v>
      </c>
      <c r="T127" s="698">
        <v>0</v>
      </c>
      <c r="U127" s="697">
        <v>0</v>
      </c>
      <c r="V127" s="698">
        <v>0</v>
      </c>
      <c r="W127" s="697">
        <v>0</v>
      </c>
      <c r="X127" s="699">
        <v>0</v>
      </c>
      <c r="Y127" s="699">
        <v>0</v>
      </c>
      <c r="Z127" s="699">
        <v>0</v>
      </c>
      <c r="AA127" s="699">
        <v>0</v>
      </c>
      <c r="AB127" s="699">
        <v>0</v>
      </c>
      <c r="AC127" s="695">
        <v>0</v>
      </c>
      <c r="AD127" s="695">
        <v>0</v>
      </c>
      <c r="AE127" s="696">
        <v>0</v>
      </c>
      <c r="AF127" s="694">
        <v>0</v>
      </c>
      <c r="AG127" s="695">
        <v>0</v>
      </c>
      <c r="AH127" s="695">
        <v>0</v>
      </c>
      <c r="AI127" s="695">
        <v>0</v>
      </c>
      <c r="AJ127" s="695">
        <v>0</v>
      </c>
      <c r="AK127" s="696">
        <v>0</v>
      </c>
      <c r="AL127" s="548"/>
      <c r="AM127" s="545"/>
      <c r="AN127" s="545"/>
      <c r="AO127" s="545"/>
      <c r="AP127" s="545"/>
    </row>
    <row r="128" spans="1:42" x14ac:dyDescent="0.25">
      <c r="B128" s="700"/>
      <c r="C128" s="701"/>
      <c r="D128" s="702"/>
      <c r="E128" s="702"/>
      <c r="F128" s="703"/>
      <c r="G128" s="703"/>
      <c r="H128" s="704"/>
      <c r="I128" s="793"/>
      <c r="J128" s="703"/>
      <c r="K128" s="703"/>
      <c r="L128" s="703"/>
      <c r="M128" s="704"/>
      <c r="N128" s="703"/>
      <c r="O128" s="703"/>
      <c r="P128" s="703"/>
      <c r="Q128" s="703"/>
      <c r="R128" s="704"/>
      <c r="S128" s="705"/>
      <c r="T128" s="705"/>
      <c r="U128" s="705"/>
      <c r="V128" s="705"/>
      <c r="W128" s="702"/>
      <c r="X128" s="703"/>
      <c r="Y128" s="703"/>
      <c r="Z128" s="703"/>
      <c r="AA128" s="703"/>
      <c r="AB128" s="703"/>
      <c r="AC128" s="703"/>
      <c r="AD128" s="703"/>
      <c r="AE128" s="703"/>
      <c r="AF128" s="703"/>
      <c r="AG128" s="703"/>
      <c r="AH128" s="703"/>
      <c r="AI128" s="703"/>
      <c r="AJ128" s="703"/>
      <c r="AK128" s="703"/>
    </row>
    <row r="129" spans="2:2" x14ac:dyDescent="0.25">
      <c r="B129" s="609" t="s">
        <v>628</v>
      </c>
    </row>
  </sheetData>
  <mergeCells count="15">
    <mergeCell ref="AL5:AP5"/>
    <mergeCell ref="D4:L4"/>
    <mergeCell ref="W4:AE4"/>
    <mergeCell ref="AF4:AK4"/>
    <mergeCell ref="B5:C5"/>
    <mergeCell ref="D5:H5"/>
    <mergeCell ref="I5:M5"/>
    <mergeCell ref="N5:R5"/>
    <mergeCell ref="S5:T5"/>
    <mergeCell ref="U5:V5"/>
    <mergeCell ref="W5:Y5"/>
    <mergeCell ref="Z5:AB5"/>
    <mergeCell ref="AC5:AE5"/>
    <mergeCell ref="AF5:AH5"/>
    <mergeCell ref="AI5:AK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B149"/>
  <sheetViews>
    <sheetView topLeftCell="F1" zoomScale="80" zoomScaleNormal="80" workbookViewId="0">
      <selection activeCell="AA21" sqref="AA21"/>
    </sheetView>
  </sheetViews>
  <sheetFormatPr defaultRowHeight="14.4" outlineLevelRow="1" outlineLevelCol="1" x14ac:dyDescent="0.3"/>
  <cols>
    <col min="1" max="1" width="48.77734375" style="175" bestFit="1" customWidth="1"/>
    <col min="2" max="2" width="48.77734375" style="392" customWidth="1"/>
    <col min="3" max="3" width="26.88671875" style="175" customWidth="1"/>
    <col min="4" max="4" width="16.109375" style="176" customWidth="1" collapsed="1"/>
    <col min="5" max="5" width="12.109375" bestFit="1" customWidth="1"/>
    <col min="6" max="6" width="18.21875" bestFit="1" customWidth="1"/>
    <col min="7" max="7" width="22.44140625" style="305" bestFit="1" customWidth="1"/>
    <col min="8" max="8" width="23.21875" style="318" customWidth="1"/>
    <col min="9" max="9" width="23.21875" style="425" customWidth="1"/>
    <col min="10" max="10" width="14.6640625" customWidth="1" outlineLevel="1"/>
    <col min="11" max="11" width="25" style="389" bestFit="1" customWidth="1" outlineLevel="1"/>
    <col min="12" max="12" width="14.6640625" customWidth="1" outlineLevel="1"/>
    <col min="13" max="13" width="22.21875" style="389" bestFit="1" customWidth="1" outlineLevel="1"/>
    <col min="14" max="14" width="16.109375" style="262" customWidth="1" outlineLevel="1"/>
    <col min="15" max="15" width="16.109375" style="412" customWidth="1" outlineLevel="1"/>
    <col min="16" max="16" width="16.109375" style="262" customWidth="1" outlineLevel="1"/>
    <col min="17" max="17" width="16.109375" style="412" customWidth="1" outlineLevel="1"/>
    <col min="18" max="18" width="16.109375" style="262" customWidth="1" outlineLevel="1"/>
    <col min="19" max="19" width="16.109375" style="412" customWidth="1" outlineLevel="1"/>
    <col min="20" max="20" width="15.6640625" bestFit="1" customWidth="1"/>
    <col min="21" max="21" width="15.6640625" style="389" customWidth="1"/>
    <col min="22" max="22" width="15.77734375" bestFit="1" customWidth="1"/>
    <col min="23" max="23" width="15.77734375" style="389" customWidth="1"/>
    <col min="24" max="24" width="22.77734375" bestFit="1" customWidth="1"/>
    <col min="25" max="25" width="20.21875" bestFit="1" customWidth="1"/>
    <col min="26" max="26" width="20.77734375" bestFit="1" customWidth="1"/>
    <col min="27" max="27" width="18.109375" bestFit="1" customWidth="1"/>
    <col min="28" max="28" width="15.21875" customWidth="1"/>
  </cols>
  <sheetData>
    <row r="1" spans="1:25" ht="14.55" outlineLevel="1" x14ac:dyDescent="0.35">
      <c r="H1" s="305"/>
      <c r="I1" s="415"/>
      <c r="J1" s="305"/>
      <c r="K1" s="415"/>
      <c r="N1" s="262" t="s">
        <v>238</v>
      </c>
      <c r="R1"/>
      <c r="S1" s="389"/>
    </row>
    <row r="2" spans="1:25" ht="14.55" outlineLevel="1" x14ac:dyDescent="0.35">
      <c r="H2" s="305">
        <v>2016</v>
      </c>
      <c r="I2" s="415"/>
      <c r="J2" s="305">
        <v>2017</v>
      </c>
      <c r="K2" s="415"/>
      <c r="L2">
        <v>2018</v>
      </c>
      <c r="N2">
        <v>2019</v>
      </c>
      <c r="O2" s="389"/>
      <c r="P2">
        <v>2020</v>
      </c>
      <c r="Q2" s="389"/>
      <c r="R2">
        <v>2021</v>
      </c>
      <c r="S2" s="389"/>
      <c r="T2">
        <v>2022</v>
      </c>
      <c r="V2">
        <v>2023</v>
      </c>
      <c r="X2">
        <v>2024</v>
      </c>
    </row>
    <row r="3" spans="1:25" ht="14.55" outlineLevel="1" x14ac:dyDescent="0.35">
      <c r="H3" s="305"/>
      <c r="I3" s="415"/>
      <c r="J3" s="369">
        <v>1</v>
      </c>
      <c r="K3" s="438"/>
      <c r="L3" s="328"/>
      <c r="M3" s="432"/>
      <c r="N3" s="229">
        <v>1.0265151515151516</v>
      </c>
      <c r="O3" s="411"/>
      <c r="P3" s="229">
        <v>1.0202952029520296</v>
      </c>
      <c r="Q3" s="411"/>
      <c r="R3" s="229">
        <v>0.98010849909584086</v>
      </c>
      <c r="S3" s="411"/>
      <c r="T3" s="229">
        <v>1.0313653136531364</v>
      </c>
      <c r="U3" s="411"/>
      <c r="V3" s="229">
        <v>1.0250447227191413</v>
      </c>
      <c r="W3" s="411"/>
      <c r="X3" s="229">
        <v>1.0349040139616057</v>
      </c>
    </row>
    <row r="4" spans="1:25" ht="14.55" outlineLevel="1" x14ac:dyDescent="0.35">
      <c r="H4" s="305"/>
      <c r="I4" s="415"/>
      <c r="J4" s="305"/>
      <c r="K4" s="415"/>
      <c r="R4" s="229"/>
      <c r="S4" s="411"/>
      <c r="T4" s="229"/>
      <c r="U4" s="411"/>
      <c r="V4" s="229"/>
      <c r="W4" s="411"/>
      <c r="X4" s="229"/>
    </row>
    <row r="5" spans="1:25" ht="16.2" customHeight="1" outlineLevel="1" x14ac:dyDescent="0.35">
      <c r="A5" t="s">
        <v>221</v>
      </c>
      <c r="B5" s="276" t="s">
        <v>640</v>
      </c>
      <c r="C5" s="175">
        <v>2017</v>
      </c>
      <c r="D5">
        <v>2018</v>
      </c>
      <c r="E5" t="s">
        <v>233</v>
      </c>
      <c r="F5" s="848" t="s">
        <v>349</v>
      </c>
      <c r="G5" s="310" t="s">
        <v>221</v>
      </c>
      <c r="H5" s="310">
        <v>2016</v>
      </c>
      <c r="I5" s="418"/>
      <c r="J5" s="310">
        <v>2017</v>
      </c>
      <c r="K5" s="444" t="s">
        <v>355</v>
      </c>
      <c r="L5" s="303">
        <v>2018</v>
      </c>
      <c r="M5" s="444" t="s">
        <v>356</v>
      </c>
      <c r="N5" s="450">
        <v>2019</v>
      </c>
      <c r="O5" s="444" t="s">
        <v>357</v>
      </c>
      <c r="P5" s="450">
        <v>2020</v>
      </c>
      <c r="Q5" s="444" t="s">
        <v>358</v>
      </c>
      <c r="R5" s="451">
        <v>2021</v>
      </c>
      <c r="S5" s="444" t="s">
        <v>362</v>
      </c>
      <c r="T5" s="451">
        <v>2022</v>
      </c>
      <c r="U5" s="444" t="s">
        <v>361</v>
      </c>
      <c r="V5" s="451">
        <v>2023</v>
      </c>
      <c r="W5" s="444" t="s">
        <v>360</v>
      </c>
      <c r="X5" s="451">
        <v>2024</v>
      </c>
      <c r="Y5" s="444" t="s">
        <v>359</v>
      </c>
    </row>
    <row r="6" spans="1:25" ht="14.55" outlineLevel="1" x14ac:dyDescent="0.35">
      <c r="A6" t="s">
        <v>243</v>
      </c>
      <c r="B6" s="746">
        <f>SUM(B22:B26,B28:B31,B111)</f>
        <v>349456318.77674907</v>
      </c>
      <c r="C6" s="79">
        <f>SUM(C22:C26,C28:C31,C111)</f>
        <v>93444249.690491945</v>
      </c>
      <c r="D6" s="79">
        <f>SUM(D22+D23+D24+D25+D26+D28+D29+D31+D140)</f>
        <v>58024975.330845006</v>
      </c>
      <c r="E6" s="229">
        <f t="shared" ref="E6:E14" si="0">D6/SUM($D$6:$D$14)</f>
        <v>0.24248471993942336</v>
      </c>
      <c r="F6" s="849">
        <f>D6/C6</f>
        <v>0.62095822400026301</v>
      </c>
      <c r="G6" s="449" t="s">
        <v>243</v>
      </c>
      <c r="H6" s="449"/>
      <c r="I6" s="449"/>
      <c r="J6" s="413">
        <f t="shared" ref="J6:J14" si="1">C6</f>
        <v>93444249.690491945</v>
      </c>
      <c r="K6" s="443">
        <f>B6</f>
        <v>349456318.77674907</v>
      </c>
      <c r="L6" s="413">
        <f>J6*60.413696%</f>
        <v>56453124.937494747</v>
      </c>
      <c r="M6" s="445">
        <f>K6*60.413696%</f>
        <v>211119478.07857612</v>
      </c>
      <c r="N6" s="413">
        <f t="shared" ref="N6:N11" si="2">L6*N$3</f>
        <v>57949988.098716207</v>
      </c>
      <c r="O6" s="443">
        <f>M6*N$3</f>
        <v>216717343.02762929</v>
      </c>
      <c r="P6" s="413">
        <f t="shared" ref="P6:P11" si="3">N6*P$3</f>
        <v>59126094.868247353</v>
      </c>
      <c r="Q6" s="443">
        <f>O6*P$3</f>
        <v>221115665.48759964</v>
      </c>
      <c r="R6" s="413">
        <f t="shared" ref="R6:R11" si="4">P6*R$3</f>
        <v>57949988.098716214</v>
      </c>
      <c r="S6" s="443">
        <f>Q6*R$3</f>
        <v>216717343.02762932</v>
      </c>
      <c r="T6" s="413">
        <f t="shared" ref="T6:T11" si="5">R6*T$3</f>
        <v>59767607.651627973</v>
      </c>
      <c r="U6" s="443">
        <f>S6*T$3</f>
        <v>223514750.46576527</v>
      </c>
      <c r="V6" s="413">
        <f t="shared" ref="V6:V11" si="6">T6*V$3</f>
        <v>61264470.812849425</v>
      </c>
      <c r="W6" s="443">
        <f>U6*V$3</f>
        <v>229112615.41481841</v>
      </c>
      <c r="X6" s="413">
        <f t="shared" ref="X6" si="7">V6*X$3</f>
        <v>63402846.757451504</v>
      </c>
      <c r="Y6" s="443">
        <f>W6*X$3</f>
        <v>237109565.34203723</v>
      </c>
    </row>
    <row r="7" spans="1:25" ht="16.2" customHeight="1" outlineLevel="1" x14ac:dyDescent="0.35">
      <c r="A7" t="s">
        <v>244</v>
      </c>
      <c r="B7" s="746">
        <f>SUM(B35:B36,B39:B41,B46,B52:B53,B63,B66,B118:B119,B124,B136,B51)</f>
        <v>215583775.53870356</v>
      </c>
      <c r="C7" s="79">
        <f>SUM(C35:C36,C39:C41,C46,C52:C53,C63,C66,C118:C119,C124,C136,C51)</f>
        <v>85793956.954901844</v>
      </c>
      <c r="D7" s="79">
        <f>SUM(D35:D36,D39:D41,D46,D52:D53,D63,D66,D118:D119,D124,D136,D51)</f>
        <v>84684757.53431651</v>
      </c>
      <c r="E7" s="229">
        <f t="shared" si="0"/>
        <v>0.35389519076504994</v>
      </c>
      <c r="F7" s="849">
        <f t="shared" ref="F7:F14" si="8">D7/C7</f>
        <v>0.987071357238268</v>
      </c>
      <c r="G7" s="419" t="s">
        <v>244</v>
      </c>
      <c r="H7" s="419"/>
      <c r="I7" s="419"/>
      <c r="J7" s="413">
        <f t="shared" si="1"/>
        <v>85793956.954901844</v>
      </c>
      <c r="K7" s="443">
        <f t="shared" ref="K7:K17" si="9">B7</f>
        <v>215583775.53870356</v>
      </c>
      <c r="L7" s="413">
        <f>J7*98.707135724%</f>
        <v>84684757.534465089</v>
      </c>
      <c r="M7" s="445">
        <f>K7*98.707135724%</f>
        <v>212796569.91991162</v>
      </c>
      <c r="N7" s="416">
        <f t="shared" si="2"/>
        <v>86930186.711515307</v>
      </c>
      <c r="O7" s="443">
        <f>M7*N$3</f>
        <v>218438903.21324262</v>
      </c>
      <c r="P7" s="416">
        <f t="shared" si="3"/>
        <v>88694452.493483335</v>
      </c>
      <c r="Q7" s="443">
        <f>O7*P$3</f>
        <v>222872165.08657414</v>
      </c>
      <c r="R7" s="413">
        <f t="shared" si="4"/>
        <v>86930186.711515307</v>
      </c>
      <c r="S7" s="443">
        <f>Q7*R$3</f>
        <v>218438903.21324265</v>
      </c>
      <c r="T7" s="413">
        <f t="shared" si="5"/>
        <v>89656779.283647701</v>
      </c>
      <c r="U7" s="443">
        <f>S7*T$3</f>
        <v>225290307.92657313</v>
      </c>
      <c r="V7" s="413">
        <f t="shared" si="6"/>
        <v>91902208.460697904</v>
      </c>
      <c r="W7" s="443">
        <f>U7*V$3</f>
        <v>230932641.21990409</v>
      </c>
      <c r="X7" s="413">
        <f t="shared" ref="X7:X11" si="10">V7*X$3</f>
        <v>95109964.427912503</v>
      </c>
      <c r="Y7" s="443">
        <f>W7*X$3</f>
        <v>238993117.35323411</v>
      </c>
    </row>
    <row r="8" spans="1:25" ht="14.55" outlineLevel="1" x14ac:dyDescent="0.35">
      <c r="A8" t="s">
        <v>245</v>
      </c>
      <c r="B8" s="746">
        <f>SUM(B42:B43,B54:B59,B65,B120:B121,B126)</f>
        <v>101235053.00775278</v>
      </c>
      <c r="C8" s="79">
        <f>SUM(C42:C43,C54:C59,C65,C120:C121,C126)</f>
        <v>25853263.544349153</v>
      </c>
      <c r="D8" s="79">
        <f>SUM(D42:D43,D54:D59,D65,D120:D121,D126)</f>
        <v>25695302.496300716</v>
      </c>
      <c r="E8" s="229">
        <f t="shared" si="0"/>
        <v>0.10737993758804944</v>
      </c>
      <c r="F8" s="849">
        <f t="shared" si="8"/>
        <v>0.99389009253019578</v>
      </c>
      <c r="G8" s="419" t="s">
        <v>245</v>
      </c>
      <c r="H8" s="419"/>
      <c r="I8" s="419"/>
      <c r="J8" s="413">
        <f t="shared" si="1"/>
        <v>25853263.544349153</v>
      </c>
      <c r="K8" s="443">
        <f t="shared" si="9"/>
        <v>101235053.00775278</v>
      </c>
      <c r="L8" s="413">
        <f>J8*99.389009253%</f>
        <v>25695302.496295653</v>
      </c>
      <c r="M8" s="445">
        <f>K8*99.389009253%</f>
        <v>100616516.20115486</v>
      </c>
      <c r="N8" s="416">
        <f t="shared" si="2"/>
        <v>26376617.335212585</v>
      </c>
      <c r="O8" s="443">
        <f>M8*N$3</f>
        <v>103284378.37315519</v>
      </c>
      <c r="P8" s="416">
        <f t="shared" si="3"/>
        <v>26911936.137218747</v>
      </c>
      <c r="Q8" s="443">
        <f>O8*P$3</f>
        <v>105380555.79401259</v>
      </c>
      <c r="R8" s="413">
        <f t="shared" si="4"/>
        <v>26376617.335212588</v>
      </c>
      <c r="S8" s="443">
        <f>Q8*R$3</f>
        <v>103284378.37315519</v>
      </c>
      <c r="T8" s="413">
        <f t="shared" si="5"/>
        <v>27203928.211040288</v>
      </c>
      <c r="U8" s="443">
        <f>S8*T$3</f>
        <v>106523925.29629843</v>
      </c>
      <c r="V8" s="413">
        <f t="shared" si="6"/>
        <v>27885243.049957216</v>
      </c>
      <c r="W8" s="443">
        <f>U8*V$3</f>
        <v>109191787.46829875</v>
      </c>
      <c r="X8" s="413">
        <f t="shared" si="10"/>
        <v>28858549.962695692</v>
      </c>
      <c r="Y8" s="443">
        <f>W8*X$3</f>
        <v>113003019.14258493</v>
      </c>
    </row>
    <row r="9" spans="1:25" ht="14.55" outlineLevel="1" x14ac:dyDescent="0.35">
      <c r="A9" t="s">
        <v>246</v>
      </c>
      <c r="B9" s="746">
        <f>SUM(B44:B45,B122:B123)</f>
        <v>3056925.2127</v>
      </c>
      <c r="C9" s="79">
        <f>SUM(C44:C45,C122:C123)</f>
        <v>3477019.9244330269</v>
      </c>
      <c r="D9" s="79">
        <f>SUM(D44:D45,D122:D123)</f>
        <v>3384912.7114241603</v>
      </c>
      <c r="E9" s="229">
        <f t="shared" si="0"/>
        <v>1.4145453852744079E-2</v>
      </c>
      <c r="F9" s="849">
        <f t="shared" si="8"/>
        <v>0.97350972527892954</v>
      </c>
      <c r="G9" s="419" t="s">
        <v>246</v>
      </c>
      <c r="H9" s="419"/>
      <c r="I9" s="419"/>
      <c r="J9" s="413">
        <f t="shared" si="1"/>
        <v>3477019.9244330269</v>
      </c>
      <c r="K9" s="443">
        <f t="shared" si="9"/>
        <v>3056925.2127</v>
      </c>
      <c r="L9" s="413">
        <f>J9*97.350972528%</f>
        <v>3384912.7114278823</v>
      </c>
      <c r="M9" s="445">
        <f>K9*97.350972528%</f>
        <v>2975946.4240170824</v>
      </c>
      <c r="N9" s="416">
        <f t="shared" si="2"/>
        <v>3474664.1848369553</v>
      </c>
      <c r="O9" s="443">
        <f>M9*N$3</f>
        <v>3054854.0943508688</v>
      </c>
      <c r="P9" s="416">
        <f t="shared" si="3"/>
        <v>3545183.1996583696</v>
      </c>
      <c r="Q9" s="443">
        <f>O9*P$3</f>
        <v>3116852.9781845585</v>
      </c>
      <c r="R9" s="413">
        <f t="shared" si="4"/>
        <v>3474664.1848369553</v>
      </c>
      <c r="S9" s="443">
        <f>Q9*R$3</f>
        <v>3054854.0943508693</v>
      </c>
      <c r="T9" s="413">
        <f t="shared" si="5"/>
        <v>3583648.1168336859</v>
      </c>
      <c r="U9" s="443">
        <f>S9*T$3</f>
        <v>3150670.5511847525</v>
      </c>
      <c r="V9" s="413">
        <f t="shared" si="6"/>
        <v>3673399.5902427584</v>
      </c>
      <c r="W9" s="443">
        <f>U9*V$3</f>
        <v>3229578.2215185384</v>
      </c>
      <c r="X9" s="413">
        <f t="shared" si="10"/>
        <v>3801615.9808271481</v>
      </c>
      <c r="Y9" s="443">
        <f>W9*X$3</f>
        <v>3342303.4648525193</v>
      </c>
    </row>
    <row r="10" spans="1:25" ht="14.55" outlineLevel="1" x14ac:dyDescent="0.35">
      <c r="A10" t="s">
        <v>247</v>
      </c>
      <c r="B10" s="746">
        <f>SUM(B64,B73:B102,B130:B131,B62)</f>
        <v>39259403.695438109</v>
      </c>
      <c r="C10" s="79">
        <f>SUM(C64,C73:C102,C130:C131,C62)</f>
        <v>23812949.963514369</v>
      </c>
      <c r="D10" s="79">
        <f>SUM(D64,D73:D102,D130:D131,D62)</f>
        <v>21053277.62907644</v>
      </c>
      <c r="E10" s="229">
        <f t="shared" si="0"/>
        <v>8.7981047826137582E-2</v>
      </c>
      <c r="F10" s="849">
        <f t="shared" si="8"/>
        <v>0.8841104382839492</v>
      </c>
      <c r="G10" s="419" t="s">
        <v>247</v>
      </c>
      <c r="H10" s="419"/>
      <c r="I10" s="419"/>
      <c r="J10" s="413">
        <f t="shared" si="1"/>
        <v>23812949.963514369</v>
      </c>
      <c r="K10" s="443">
        <f t="shared" si="9"/>
        <v>39259403.695438109</v>
      </c>
      <c r="L10" s="413">
        <f>J10*88.411043828%</f>
        <v>21053277.628982399</v>
      </c>
      <c r="M10" s="445">
        <f>K10*88.411043828%</f>
        <v>34709648.60778524</v>
      </c>
      <c r="N10" s="416">
        <f t="shared" si="2"/>
        <v>21611508.475205418</v>
      </c>
      <c r="O10" s="443">
        <f t="shared" ref="O10:Y11" si="11">M10*N$3</f>
        <v>35629980.199658334</v>
      </c>
      <c r="P10" s="416">
        <f t="shared" si="3"/>
        <v>22050118.425809219</v>
      </c>
      <c r="Q10" s="443">
        <f t="shared" si="11"/>
        <v>36353097.878987193</v>
      </c>
      <c r="R10" s="413">
        <f t="shared" si="4"/>
        <v>21611508.475205418</v>
      </c>
      <c r="S10" s="443">
        <f t="shared" si="11"/>
        <v>35629980.199658334</v>
      </c>
      <c r="T10" s="413">
        <f t="shared" si="5"/>
        <v>22289360.21704765</v>
      </c>
      <c r="U10" s="443">
        <f t="shared" si="11"/>
        <v>36747525.704075657</v>
      </c>
      <c r="V10" s="413">
        <f t="shared" si="6"/>
        <v>22847591.063270666</v>
      </c>
      <c r="W10" s="443">
        <f t="shared" si="11"/>
        <v>37667857.295948751</v>
      </c>
      <c r="X10" s="413">
        <f t="shared" si="10"/>
        <v>23645063.700732123</v>
      </c>
      <c r="Y10" s="443">
        <f t="shared" si="11"/>
        <v>38982616.712910317</v>
      </c>
    </row>
    <row r="11" spans="1:25" ht="14.55" outlineLevel="1" x14ac:dyDescent="0.35">
      <c r="A11" t="s">
        <v>239</v>
      </c>
      <c r="B11" s="746">
        <f>SUM(B135)</f>
        <v>0</v>
      </c>
      <c r="C11" s="79">
        <f>SUM(C135)</f>
        <v>7476486.267967687</v>
      </c>
      <c r="D11" s="79">
        <f>SUM(D135)</f>
        <v>7476486.267967687</v>
      </c>
      <c r="E11" s="229">
        <f t="shared" si="0"/>
        <v>3.1244023258642679E-2</v>
      </c>
      <c r="F11" s="849">
        <f t="shared" si="8"/>
        <v>1</v>
      </c>
      <c r="G11" s="419" t="s">
        <v>230</v>
      </c>
      <c r="H11" s="419"/>
      <c r="I11" s="419"/>
      <c r="J11" s="413">
        <f t="shared" si="1"/>
        <v>7476486.267967687</v>
      </c>
      <c r="K11" s="443">
        <f t="shared" si="9"/>
        <v>0</v>
      </c>
      <c r="L11" s="413">
        <f>D11</f>
        <v>7476486.267967687</v>
      </c>
      <c r="M11" s="445">
        <f>B11</f>
        <v>0</v>
      </c>
      <c r="N11" s="416">
        <f t="shared" si="2"/>
        <v>7674726.4341638004</v>
      </c>
      <c r="O11" s="443">
        <f t="shared" si="11"/>
        <v>0</v>
      </c>
      <c r="P11" s="416">
        <f t="shared" si="3"/>
        <v>7830486.5647464609</v>
      </c>
      <c r="Q11" s="443">
        <f t="shared" si="11"/>
        <v>0</v>
      </c>
      <c r="R11" s="413">
        <f t="shared" si="4"/>
        <v>7674726.4341638004</v>
      </c>
      <c r="S11" s="443">
        <f t="shared" si="11"/>
        <v>0</v>
      </c>
      <c r="T11" s="413">
        <f t="shared" si="5"/>
        <v>7915446.635973365</v>
      </c>
      <c r="U11" s="443">
        <f t="shared" si="11"/>
        <v>0</v>
      </c>
      <c r="V11" s="413">
        <f t="shared" si="6"/>
        <v>8113686.8021694776</v>
      </c>
      <c r="W11" s="443">
        <f t="shared" si="11"/>
        <v>0</v>
      </c>
      <c r="X11" s="413">
        <f t="shared" si="10"/>
        <v>8396887.0395924971</v>
      </c>
      <c r="Y11" s="443">
        <f t="shared" si="11"/>
        <v>0</v>
      </c>
    </row>
    <row r="12" spans="1:25" ht="14.55" outlineLevel="1" x14ac:dyDescent="0.35">
      <c r="A12" t="s">
        <v>240</v>
      </c>
      <c r="B12" s="746">
        <f>SUM(B105)</f>
        <v>660569233.53682208</v>
      </c>
      <c r="C12" s="79">
        <f>SUM(C105)</f>
        <v>5661247.5744060008</v>
      </c>
      <c r="D12" s="79">
        <f>SUM(D105)</f>
        <v>5661247.5744060008</v>
      </c>
      <c r="E12" s="229">
        <f t="shared" si="0"/>
        <v>2.3658192438004225E-2</v>
      </c>
      <c r="F12" s="849">
        <f t="shared" si="8"/>
        <v>1</v>
      </c>
      <c r="G12" s="419" t="s">
        <v>231</v>
      </c>
      <c r="H12" s="419"/>
      <c r="I12" s="419"/>
      <c r="J12" s="413">
        <f t="shared" si="1"/>
        <v>5661247.5744060008</v>
      </c>
      <c r="K12" s="443">
        <f t="shared" si="9"/>
        <v>660569233.53682208</v>
      </c>
      <c r="L12" s="413">
        <f t="shared" ref="L12:M14" si="12">D12</f>
        <v>5661247.5744060008</v>
      </c>
      <c r="M12" s="445">
        <f>B12</f>
        <v>660569233.53682208</v>
      </c>
      <c r="N12" s="416">
        <f>L12</f>
        <v>5661247.5744060008</v>
      </c>
      <c r="O12" s="448">
        <f>B12</f>
        <v>660569233.53682208</v>
      </c>
      <c r="P12" s="416">
        <f t="shared" ref="P12:W12" si="13">N12</f>
        <v>5661247.5744060008</v>
      </c>
      <c r="Q12" s="448">
        <f t="shared" si="13"/>
        <v>660569233.53682208</v>
      </c>
      <c r="R12" s="413">
        <f t="shared" si="13"/>
        <v>5661247.5744060008</v>
      </c>
      <c r="S12" s="448">
        <f t="shared" si="13"/>
        <v>660569233.53682208</v>
      </c>
      <c r="T12" s="413">
        <f t="shared" si="13"/>
        <v>5661247.5744060008</v>
      </c>
      <c r="U12" s="448">
        <f t="shared" si="13"/>
        <v>660569233.53682208</v>
      </c>
      <c r="V12" s="413">
        <f t="shared" si="13"/>
        <v>5661247.5744060008</v>
      </c>
      <c r="W12" s="448">
        <f t="shared" si="13"/>
        <v>660569233.53682208</v>
      </c>
      <c r="X12" s="413">
        <f t="shared" ref="X12" si="14">V12</f>
        <v>5661247.5744060008</v>
      </c>
      <c r="Y12" s="448">
        <f>W12</f>
        <v>660569233.53682208</v>
      </c>
    </row>
    <row r="13" spans="1:25" ht="14.55" outlineLevel="1" x14ac:dyDescent="0.35">
      <c r="A13" t="s">
        <v>241</v>
      </c>
      <c r="B13" s="746">
        <f>SUM(B27,B112:B113)</f>
        <v>0</v>
      </c>
      <c r="C13" s="79">
        <f>SUM(C27,C112:C113)</f>
        <v>4845106.248958258</v>
      </c>
      <c r="D13" s="79">
        <f>SUM(D27,D112:D113)</f>
        <v>4845106.248958258</v>
      </c>
      <c r="E13" s="229">
        <f t="shared" si="0"/>
        <v>2.0247561074461278E-2</v>
      </c>
      <c r="F13" s="849">
        <f t="shared" si="8"/>
        <v>1</v>
      </c>
      <c r="G13" s="419" t="s">
        <v>232</v>
      </c>
      <c r="H13" s="419"/>
      <c r="I13" s="419"/>
      <c r="J13" s="413">
        <f t="shared" si="1"/>
        <v>4845106.248958258</v>
      </c>
      <c r="K13" s="443">
        <f t="shared" si="9"/>
        <v>0</v>
      </c>
      <c r="L13" s="413">
        <f t="shared" si="12"/>
        <v>4845106.248958258</v>
      </c>
      <c r="M13" s="445">
        <f t="shared" si="12"/>
        <v>2.0247561074461278E-2</v>
      </c>
      <c r="N13" s="416">
        <f>L13</f>
        <v>4845106.248958258</v>
      </c>
      <c r="O13" s="416"/>
      <c r="P13" s="416">
        <f>N13</f>
        <v>4845106.248958258</v>
      </c>
      <c r="Q13" s="416"/>
      <c r="R13" s="413">
        <f>P13</f>
        <v>4845106.248958258</v>
      </c>
      <c r="S13" s="416"/>
      <c r="T13" s="413">
        <f>R13</f>
        <v>4845106.248958258</v>
      </c>
      <c r="U13" s="416"/>
      <c r="V13" s="413">
        <f>T13</f>
        <v>4845106.248958258</v>
      </c>
      <c r="W13" s="416"/>
      <c r="X13" s="413">
        <f t="shared" ref="X13:X14" si="15">V13</f>
        <v>4845106.248958258</v>
      </c>
      <c r="Y13" s="416"/>
    </row>
    <row r="14" spans="1:25" ht="14.55" outlineLevel="1" x14ac:dyDescent="0.35">
      <c r="A14" t="s">
        <v>242</v>
      </c>
      <c r="B14" s="746">
        <f>SUM(B137:B139)</f>
        <v>0</v>
      </c>
      <c r="C14" s="79">
        <f>SUM(C137:C139)</f>
        <v>28467261</v>
      </c>
      <c r="D14" s="79">
        <f>SUM(D137:D139)</f>
        <v>28467261</v>
      </c>
      <c r="E14" s="229">
        <f t="shared" si="0"/>
        <v>0.11896387325748724</v>
      </c>
      <c r="F14" s="849">
        <f t="shared" si="8"/>
        <v>1</v>
      </c>
      <c r="G14" s="419" t="s">
        <v>234</v>
      </c>
      <c r="H14" s="419"/>
      <c r="I14" s="419"/>
      <c r="J14" s="413">
        <f t="shared" si="1"/>
        <v>28467261</v>
      </c>
      <c r="K14" s="443">
        <f t="shared" si="9"/>
        <v>0</v>
      </c>
      <c r="L14" s="413">
        <f t="shared" si="12"/>
        <v>28467261</v>
      </c>
      <c r="M14" s="445">
        <f t="shared" si="12"/>
        <v>0.11896387325748724</v>
      </c>
      <c r="N14" s="416">
        <f>L14</f>
        <v>28467261</v>
      </c>
      <c r="O14" s="416"/>
      <c r="P14" s="416">
        <f>N14</f>
        <v>28467261</v>
      </c>
      <c r="Q14" s="416"/>
      <c r="R14" s="413">
        <f>P14</f>
        <v>28467261</v>
      </c>
      <c r="S14" s="416"/>
      <c r="T14" s="413">
        <f>R14</f>
        <v>28467261</v>
      </c>
      <c r="U14" s="416"/>
      <c r="V14" s="413">
        <f>T14</f>
        <v>28467261</v>
      </c>
      <c r="W14" s="416"/>
      <c r="X14" s="413">
        <f t="shared" si="15"/>
        <v>28467261</v>
      </c>
      <c r="Y14" s="416"/>
    </row>
    <row r="15" spans="1:25" ht="14.55" outlineLevel="1" x14ac:dyDescent="0.35">
      <c r="A15" t="s">
        <v>237</v>
      </c>
      <c r="B15" s="746">
        <f>SUM(B6:B14)</f>
        <v>1369160709.7681656</v>
      </c>
      <c r="C15" s="79">
        <f>SUM(C6:C14)</f>
        <v>278831541.16902232</v>
      </c>
      <c r="D15" s="79">
        <f>SUM(D6:D14)</f>
        <v>239293326.79329482</v>
      </c>
      <c r="E15" s="229">
        <f t="shared" ref="E15:E17" si="16">D15/SUM($D$6:$D$14)</f>
        <v>1</v>
      </c>
      <c r="F15" s="370"/>
      <c r="G15" s="419" t="s">
        <v>237</v>
      </c>
      <c r="H15" s="419"/>
      <c r="I15" s="419"/>
      <c r="J15" s="414">
        <f t="shared" ref="J15:X15" si="17">SUM(J6:J14)</f>
        <v>278831541.16902232</v>
      </c>
      <c r="K15" s="443">
        <f t="shared" si="9"/>
        <v>1369160709.7681656</v>
      </c>
      <c r="L15" s="414">
        <f t="shared" si="17"/>
        <v>237721476.39999774</v>
      </c>
      <c r="M15" s="446">
        <f t="shared" ref="M15:O15" si="18">SUM(M6:M14)</f>
        <v>1222787392.9074783</v>
      </c>
      <c r="N15" s="417">
        <f t="shared" si="17"/>
        <v>242991306.06301454</v>
      </c>
      <c r="O15" s="446">
        <f t="shared" si="18"/>
        <v>1237694692.4448583</v>
      </c>
      <c r="P15" s="417">
        <f t="shared" si="17"/>
        <v>247131886.51252773</v>
      </c>
      <c r="Q15" s="446">
        <f t="shared" si="17"/>
        <v>1249407570.7621803</v>
      </c>
      <c r="R15" s="414">
        <f t="shared" si="17"/>
        <v>242991306.06301454</v>
      </c>
      <c r="S15" s="446">
        <f t="shared" ref="S15" si="19">SUM(S6:S14)</f>
        <v>1237694692.4448583</v>
      </c>
      <c r="T15" s="414">
        <f t="shared" si="17"/>
        <v>249390384.93953493</v>
      </c>
      <c r="U15" s="446">
        <f t="shared" ref="U15" si="20">SUM(U6:U14)</f>
        <v>1255796413.4807193</v>
      </c>
      <c r="V15" s="414">
        <f t="shared" si="17"/>
        <v>254660214.6025517</v>
      </c>
      <c r="W15" s="446">
        <f t="shared" ref="W15" si="21">SUM(W6:W14)</f>
        <v>1270703713.1573105</v>
      </c>
      <c r="X15" s="414">
        <f t="shared" si="17"/>
        <v>262188542.69257572</v>
      </c>
      <c r="Y15" s="446">
        <f t="shared" ref="Y15" si="22">SUM(Y6:Y14)</f>
        <v>1291999855.5524411</v>
      </c>
    </row>
    <row r="16" spans="1:25" ht="14.55" outlineLevel="1" x14ac:dyDescent="0.35">
      <c r="A16" t="s">
        <v>252</v>
      </c>
      <c r="B16" s="746">
        <f>'[4]2018 Subprogram Est.'!$O$128</f>
        <v>278831541.16902226</v>
      </c>
      <c r="C16" s="79">
        <f>'[4]2018 Subprogram Est.'!$O$128</f>
        <v>278831541.16902226</v>
      </c>
      <c r="D16" s="79">
        <f>'[4]2018 Subprogram Est.'!$O$128</f>
        <v>278831541.16902226</v>
      </c>
      <c r="E16" s="229">
        <f t="shared" si="16"/>
        <v>1.1652290722251573</v>
      </c>
      <c r="F16" s="370"/>
      <c r="G16" s="419" t="s">
        <v>248</v>
      </c>
      <c r="H16" s="419"/>
      <c r="I16" s="419"/>
      <c r="J16" s="414">
        <f>'[4]2018 Subprogram Est.'!$O$128</f>
        <v>278831541.16902226</v>
      </c>
      <c r="K16" s="447">
        <v>1216000000</v>
      </c>
      <c r="L16" s="414">
        <f>'[4]2018 Subprogram Est.'!$O$128</f>
        <v>278831541.16902226</v>
      </c>
      <c r="M16" s="447">
        <v>949000000</v>
      </c>
      <c r="N16" s="417">
        <f>'[4]2018 Subprogram Est.'!$O$128</f>
        <v>278831541.16902226</v>
      </c>
      <c r="O16" s="417"/>
      <c r="P16" s="417">
        <f>'[4]2018 Subprogram Est.'!$O$128</f>
        <v>278831541.16902226</v>
      </c>
      <c r="Q16" s="417"/>
      <c r="R16" s="414">
        <f>'[4]2018 Subprogram Est.'!$O$128</f>
        <v>278831541.16902226</v>
      </c>
      <c r="S16" s="414"/>
      <c r="T16" s="414">
        <f>'[4]2018 Subprogram Est.'!$O$128</f>
        <v>278831541.16902226</v>
      </c>
      <c r="U16" s="414"/>
      <c r="V16" s="414">
        <f>'[4]2018 Subprogram Est.'!$O$128</f>
        <v>278831541.16902226</v>
      </c>
      <c r="W16" s="414"/>
      <c r="X16" s="414">
        <f>'[4]2018 Subprogram Est.'!$O$128</f>
        <v>278831541.16902226</v>
      </c>
      <c r="Y16" s="439"/>
    </row>
    <row r="17" spans="1:28" ht="14.55" outlineLevel="1" x14ac:dyDescent="0.35">
      <c r="A17" t="s">
        <v>249</v>
      </c>
      <c r="B17" s="746"/>
      <c r="C17" s="79">
        <f>C15-C16</f>
        <v>0</v>
      </c>
      <c r="D17" s="79">
        <f>D15-D16</f>
        <v>-39538214.375727445</v>
      </c>
      <c r="E17" s="229">
        <f t="shared" si="16"/>
        <v>-0.16522907222515718</v>
      </c>
      <c r="F17" s="229"/>
      <c r="G17" s="419" t="s">
        <v>251</v>
      </c>
      <c r="H17" s="419"/>
      <c r="I17" s="419"/>
      <c r="J17" s="414">
        <f t="shared" ref="J17:X17" si="23">J15-J16</f>
        <v>0</v>
      </c>
      <c r="K17" s="443">
        <f t="shared" si="9"/>
        <v>0</v>
      </c>
      <c r="L17" s="414">
        <f t="shared" si="23"/>
        <v>-41110064.769024521</v>
      </c>
      <c r="M17" s="446">
        <f t="shared" ref="M17" si="24">M15-M16</f>
        <v>273787392.90747833</v>
      </c>
      <c r="N17" s="417">
        <f t="shared" si="23"/>
        <v>-35840235.106007725</v>
      </c>
      <c r="O17" s="417"/>
      <c r="P17" s="417">
        <f t="shared" si="23"/>
        <v>-31699654.656494528</v>
      </c>
      <c r="Q17" s="417"/>
      <c r="R17" s="414">
        <f t="shared" si="23"/>
        <v>-35840235.106007725</v>
      </c>
      <c r="S17" s="414"/>
      <c r="T17" s="414">
        <f t="shared" si="23"/>
        <v>-29441156.22948733</v>
      </c>
      <c r="U17" s="414"/>
      <c r="V17" s="414">
        <f t="shared" si="23"/>
        <v>-24171326.566470563</v>
      </c>
      <c r="W17" s="414"/>
      <c r="X17" s="414">
        <f t="shared" si="23"/>
        <v>-16642998.476446539</v>
      </c>
      <c r="Y17" s="439"/>
    </row>
    <row r="18" spans="1:28" ht="14.55" outlineLevel="1" x14ac:dyDescent="0.35">
      <c r="A18"/>
      <c r="B18" s="389"/>
      <c r="C18"/>
      <c r="D18" s="79"/>
      <c r="E18" s="79"/>
      <c r="F18" s="79"/>
      <c r="H18" s="312"/>
      <c r="I18" s="420"/>
      <c r="J18" s="312"/>
      <c r="K18" s="420"/>
      <c r="L18" s="79"/>
      <c r="M18" s="391"/>
      <c r="R18" s="79"/>
      <c r="S18" s="391"/>
      <c r="T18" s="79"/>
      <c r="U18" s="391"/>
      <c r="V18" s="79"/>
      <c r="W18" s="391"/>
      <c r="X18" s="79"/>
    </row>
    <row r="19" spans="1:28" ht="14.55" x14ac:dyDescent="0.35">
      <c r="A19" s="175" t="s">
        <v>250</v>
      </c>
      <c r="D19" s="176" t="s">
        <v>220</v>
      </c>
      <c r="H19" s="305"/>
      <c r="I19" s="415"/>
    </row>
    <row r="20" spans="1:28" ht="43.5" x14ac:dyDescent="0.35">
      <c r="B20" s="392" t="s">
        <v>640</v>
      </c>
      <c r="D20" s="177" t="s">
        <v>219</v>
      </c>
      <c r="F20" s="317" t="s">
        <v>328</v>
      </c>
      <c r="G20" s="305" t="s">
        <v>332</v>
      </c>
      <c r="H20" s="317" t="s">
        <v>329</v>
      </c>
      <c r="I20" s="424"/>
      <c r="P20" s="322" t="s">
        <v>336</v>
      </c>
      <c r="Q20" s="429"/>
      <c r="R20" s="322" t="s">
        <v>348</v>
      </c>
      <c r="S20" s="429"/>
      <c r="T20" s="322" t="s">
        <v>337</v>
      </c>
      <c r="U20" s="429"/>
      <c r="V20" s="323" t="s">
        <v>324</v>
      </c>
      <c r="W20" s="430"/>
      <c r="X20" s="323" t="s">
        <v>307</v>
      </c>
      <c r="Y20" s="324" t="s">
        <v>338</v>
      </c>
      <c r="Z20" s="324" t="s">
        <v>339</v>
      </c>
      <c r="AA20" s="324" t="s">
        <v>340</v>
      </c>
      <c r="AB20" s="323" t="s">
        <v>341</v>
      </c>
    </row>
    <row r="21" spans="1:28" ht="43.5" x14ac:dyDescent="0.35">
      <c r="A21" s="178" t="s">
        <v>256</v>
      </c>
      <c r="B21" s="437"/>
      <c r="C21" s="333"/>
      <c r="D21" s="179"/>
      <c r="E21" t="s">
        <v>221</v>
      </c>
      <c r="F21" s="305" t="s">
        <v>323</v>
      </c>
      <c r="G21" s="305" t="s">
        <v>306</v>
      </c>
      <c r="H21" s="318" t="s">
        <v>327</v>
      </c>
      <c r="J21" s="313" t="s">
        <v>334</v>
      </c>
      <c r="K21" s="421"/>
      <c r="L21" s="313" t="s">
        <v>347</v>
      </c>
      <c r="M21" s="421"/>
      <c r="N21" s="313" t="s">
        <v>335</v>
      </c>
      <c r="O21" s="421"/>
      <c r="P21" s="325">
        <f>SUBTOTAL(9,J$21:J$1003)</f>
        <v>66020507.963882685</v>
      </c>
      <c r="Q21" s="431"/>
      <c r="R21" s="325">
        <f>SUBTOTAL(9,L$21:L$1003)</f>
        <v>64909434.413605802</v>
      </c>
      <c r="S21" s="431"/>
      <c r="T21" s="325">
        <f>SUBTOTAL(9,N$22:N$1003)</f>
        <v>64730517.748499282</v>
      </c>
      <c r="U21" s="431"/>
      <c r="V21" s="325">
        <f>Scale!F24+SUM(D140:D144)</f>
        <v>280396613.68876421</v>
      </c>
      <c r="W21" s="431"/>
      <c r="X21" s="326">
        <f>P21/V21*0.93</f>
        <v>0.21897223222018972</v>
      </c>
      <c r="Y21" s="325">
        <f>SUBTOTAL(9,D21:D139)</f>
        <v>84547758.130434468</v>
      </c>
      <c r="Z21" s="325">
        <f>SUBTOTAL(9,D21:D150)</f>
        <v>107300752.67884274</v>
      </c>
      <c r="AA21" s="327">
        <f>T21/Y21</f>
        <v>0.76560891950130117</v>
      </c>
      <c r="AB21" s="327">
        <f>P21/Z21</f>
        <v>0.61528466777382096</v>
      </c>
    </row>
    <row r="22" spans="1:28" ht="14.55" hidden="1" x14ac:dyDescent="0.35">
      <c r="A22" s="180" t="s">
        <v>1</v>
      </c>
      <c r="B22" s="386">
        <v>66786000</v>
      </c>
      <c r="C22" s="334">
        <v>10666146.565233044</v>
      </c>
      <c r="D22" s="181">
        <v>10666146.565233044</v>
      </c>
      <c r="E22" t="s">
        <v>222</v>
      </c>
      <c r="F22" s="316" t="s">
        <v>301</v>
      </c>
      <c r="G22"/>
      <c r="H22" s="319">
        <v>0.85</v>
      </c>
      <c r="I22" s="426"/>
      <c r="J22" s="262">
        <f>IF(F22="Yes",H22*D22,IF(F22="Partly",H22*D22,""))</f>
        <v>9066224.5804480873</v>
      </c>
      <c r="K22" s="412"/>
      <c r="L22" s="330">
        <f>J22</f>
        <v>9066224.5804480873</v>
      </c>
      <c r="M22" s="434"/>
      <c r="N22" s="262">
        <f>J22</f>
        <v>9066224.5804480873</v>
      </c>
    </row>
    <row r="23" spans="1:28" ht="14.55" hidden="1" x14ac:dyDescent="0.35">
      <c r="A23" s="180" t="s">
        <v>2</v>
      </c>
      <c r="B23" s="386">
        <v>16918470.9476333</v>
      </c>
      <c r="C23" s="334">
        <v>9064874.9637419637</v>
      </c>
      <c r="D23" s="181">
        <v>3431091.5933043025</v>
      </c>
      <c r="E23" t="s">
        <v>222</v>
      </c>
      <c r="F23" s="316"/>
      <c r="G23"/>
      <c r="H23" s="319"/>
      <c r="I23" s="426"/>
      <c r="J23" s="262" t="str">
        <f t="shared" ref="J23:J31" si="25">IF(F23="Yes",H23*D23,IF(F23="Partly",H23*D23,""))</f>
        <v/>
      </c>
      <c r="K23" s="412"/>
      <c r="L23" s="330"/>
      <c r="M23" s="434"/>
      <c r="N23" s="262" t="str">
        <f t="shared" ref="N23:N38" si="26">J23</f>
        <v/>
      </c>
      <c r="P23"/>
      <c r="Q23" s="389"/>
      <c r="R23"/>
      <c r="S23" s="389"/>
    </row>
    <row r="24" spans="1:28" ht="14.55" hidden="1" x14ac:dyDescent="0.35">
      <c r="A24" s="180" t="s">
        <v>3</v>
      </c>
      <c r="B24" s="386">
        <v>19851597.678371102</v>
      </c>
      <c r="C24" s="334">
        <v>6944544.3639879115</v>
      </c>
      <c r="D24" s="181">
        <v>6944544.3639879115</v>
      </c>
      <c r="E24" t="s">
        <v>222</v>
      </c>
      <c r="F24" s="316" t="s">
        <v>301</v>
      </c>
      <c r="G24"/>
      <c r="H24" s="331">
        <v>0.1</v>
      </c>
      <c r="I24" s="435"/>
      <c r="J24" s="332">
        <f>IF(F24="Yes",H24*D24,IF(F24="Partly",H24*D24,""))</f>
        <v>694454.43639879115</v>
      </c>
      <c r="K24" s="436"/>
      <c r="L24" s="330">
        <f>J24</f>
        <v>694454.43639879115</v>
      </c>
      <c r="M24" s="434"/>
      <c r="N24" s="262">
        <f t="shared" si="26"/>
        <v>694454.43639879115</v>
      </c>
      <c r="P24"/>
      <c r="Q24" s="389"/>
      <c r="R24"/>
      <c r="S24" s="389"/>
    </row>
    <row r="25" spans="1:28" ht="14.55" hidden="1" x14ac:dyDescent="0.35">
      <c r="A25" s="182" t="s">
        <v>4</v>
      </c>
      <c r="B25" s="386">
        <v>10478743.269425901</v>
      </c>
      <c r="C25" s="334">
        <v>4796741.375699345</v>
      </c>
      <c r="D25" s="181">
        <v>3371481.1671665031</v>
      </c>
      <c r="E25" t="s">
        <v>222</v>
      </c>
      <c r="F25" s="316" t="s">
        <v>301</v>
      </c>
      <c r="G25"/>
      <c r="H25" s="319">
        <v>1</v>
      </c>
      <c r="I25" s="426"/>
      <c r="J25" s="262">
        <f t="shared" si="25"/>
        <v>3371481.1671665031</v>
      </c>
      <c r="K25" s="412"/>
      <c r="L25" s="330">
        <f t="shared" ref="L25:L26" si="27">J25</f>
        <v>3371481.1671665031</v>
      </c>
      <c r="M25" s="434"/>
      <c r="N25" s="262">
        <f t="shared" si="26"/>
        <v>3371481.1671665031</v>
      </c>
      <c r="P25"/>
      <c r="Q25" s="389"/>
      <c r="R25"/>
      <c r="S25" s="389"/>
    </row>
    <row r="26" spans="1:28" ht="14.55" hidden="1" x14ac:dyDescent="0.35">
      <c r="A26" s="180" t="s">
        <v>5</v>
      </c>
      <c r="B26" s="386">
        <v>226616830.55536199</v>
      </c>
      <c r="C26" s="334">
        <v>51231237.747912936</v>
      </c>
      <c r="D26" s="181">
        <f>21601748.6479129*2/3</f>
        <v>14401165.765275268</v>
      </c>
      <c r="E26" t="s">
        <v>222</v>
      </c>
      <c r="F26" s="316" t="s">
        <v>301</v>
      </c>
      <c r="G26"/>
      <c r="H26" s="319">
        <v>0.1</v>
      </c>
      <c r="I26" s="426"/>
      <c r="J26" s="262">
        <f t="shared" si="25"/>
        <v>1440116.5765275268</v>
      </c>
      <c r="K26" s="412"/>
      <c r="L26" s="330">
        <f t="shared" si="27"/>
        <v>1440116.5765275268</v>
      </c>
      <c r="M26" s="434"/>
      <c r="N26" s="262">
        <f t="shared" si="26"/>
        <v>1440116.5765275268</v>
      </c>
      <c r="P26"/>
      <c r="Q26" s="389"/>
      <c r="R26"/>
      <c r="S26" s="389"/>
    </row>
    <row r="27" spans="1:28" ht="14.55" hidden="1" x14ac:dyDescent="0.35">
      <c r="A27" s="182" t="s">
        <v>6</v>
      </c>
      <c r="B27" s="386">
        <v>0</v>
      </c>
      <c r="C27" s="334">
        <v>495536.3396029984</v>
      </c>
      <c r="D27" s="181">
        <v>495536.3396029984</v>
      </c>
      <c r="E27" t="s">
        <v>232</v>
      </c>
      <c r="F27" s="316"/>
      <c r="G27"/>
      <c r="H27" s="319"/>
      <c r="I27" s="426"/>
      <c r="J27" s="262" t="str">
        <f t="shared" si="25"/>
        <v/>
      </c>
      <c r="K27" s="412"/>
      <c r="L27" s="262"/>
      <c r="M27" s="412"/>
      <c r="N27" s="262" t="str">
        <f t="shared" si="26"/>
        <v/>
      </c>
      <c r="P27"/>
      <c r="Q27" s="389"/>
      <c r="R27"/>
      <c r="S27" s="389"/>
    </row>
    <row r="28" spans="1:28" ht="14.55" hidden="1" x14ac:dyDescent="0.35">
      <c r="A28" s="180" t="s">
        <v>7</v>
      </c>
      <c r="B28" s="386">
        <v>0</v>
      </c>
      <c r="C28" s="334">
        <v>350000</v>
      </c>
      <c r="D28" s="181">
        <v>350000</v>
      </c>
      <c r="E28" t="s">
        <v>222</v>
      </c>
      <c r="F28" s="316"/>
      <c r="G28"/>
      <c r="H28" s="319"/>
      <c r="I28" s="426"/>
      <c r="J28" s="262" t="str">
        <f t="shared" si="25"/>
        <v/>
      </c>
      <c r="K28" s="412"/>
      <c r="L28" s="330" t="str">
        <f t="shared" ref="L28" si="28">J28</f>
        <v/>
      </c>
      <c r="M28" s="434"/>
      <c r="N28" s="262" t="str">
        <f t="shared" si="26"/>
        <v/>
      </c>
      <c r="P28"/>
      <c r="Q28" s="389"/>
      <c r="R28"/>
      <c r="S28" s="389"/>
    </row>
    <row r="29" spans="1:28" ht="14.55" hidden="1" x14ac:dyDescent="0.35">
      <c r="A29" s="183" t="s">
        <v>8</v>
      </c>
      <c r="B29" s="386">
        <v>840266.55072000006</v>
      </c>
      <c r="C29" s="334">
        <v>6063775.356344495</v>
      </c>
      <c r="D29" s="181">
        <v>6063775.356344495</v>
      </c>
      <c r="E29" t="s">
        <v>222</v>
      </c>
      <c r="F29" s="316" t="s">
        <v>301</v>
      </c>
      <c r="G29"/>
      <c r="H29" s="319">
        <v>1</v>
      </c>
      <c r="I29" s="426"/>
      <c r="J29" s="262">
        <f t="shared" si="25"/>
        <v>6063775.356344495</v>
      </c>
      <c r="K29" s="412"/>
      <c r="L29" s="330">
        <f>J29/2</f>
        <v>3031887.6781722475</v>
      </c>
      <c r="M29" s="434"/>
      <c r="P29"/>
      <c r="Q29" s="389"/>
      <c r="R29"/>
      <c r="S29" s="389"/>
    </row>
    <row r="30" spans="1:28" ht="14.55" hidden="1" x14ac:dyDescent="0.35">
      <c r="A30" s="182" t="s">
        <v>9</v>
      </c>
      <c r="B30" s="440"/>
      <c r="C30" s="335"/>
      <c r="D30" s="184"/>
      <c r="F30" s="316"/>
      <c r="G30"/>
      <c r="H30" s="319"/>
      <c r="I30" s="426"/>
      <c r="J30" s="262" t="str">
        <f t="shared" si="25"/>
        <v/>
      </c>
      <c r="K30" s="412"/>
      <c r="L30" s="262"/>
      <c r="M30" s="412"/>
      <c r="N30" s="262" t="str">
        <f t="shared" si="26"/>
        <v/>
      </c>
      <c r="P30"/>
      <c r="Q30" s="389"/>
      <c r="R30"/>
      <c r="S30" s="389"/>
    </row>
    <row r="31" spans="1:28" ht="14.55" hidden="1" x14ac:dyDescent="0.35">
      <c r="A31" s="182" t="s">
        <v>199</v>
      </c>
      <c r="B31" s="386">
        <v>7964409.7752367696</v>
      </c>
      <c r="C31" s="334">
        <v>4233905.5040058745</v>
      </c>
      <c r="D31" s="181">
        <v>3931313.0195334805</v>
      </c>
      <c r="E31" t="s">
        <v>222</v>
      </c>
      <c r="F31" s="316" t="s">
        <v>301</v>
      </c>
      <c r="G31"/>
      <c r="H31" s="319">
        <v>1</v>
      </c>
      <c r="I31" s="426"/>
      <c r="J31" s="262">
        <f t="shared" si="25"/>
        <v>3931313.0195334805</v>
      </c>
      <c r="K31" s="412"/>
      <c r="L31" s="330">
        <f>J31/2</f>
        <v>1965656.5097667403</v>
      </c>
      <c r="M31" s="434"/>
      <c r="N31" s="262">
        <f t="shared" si="26"/>
        <v>3931313.0195334805</v>
      </c>
      <c r="P31"/>
      <c r="Q31" s="389"/>
      <c r="R31"/>
      <c r="S31" s="389"/>
    </row>
    <row r="32" spans="1:28" ht="22.95" hidden="1" x14ac:dyDescent="0.35">
      <c r="A32" s="178" t="s">
        <v>10</v>
      </c>
      <c r="B32" s="390">
        <f>SUM(B22:B31)</f>
        <v>349456318.77674907</v>
      </c>
      <c r="C32" s="336">
        <f>SUM(C22:C31)</f>
        <v>93846762.216528565</v>
      </c>
      <c r="D32" s="185">
        <v>56855637.053085677</v>
      </c>
      <c r="E32" t="s">
        <v>308</v>
      </c>
      <c r="F32" s="316"/>
      <c r="G32"/>
      <c r="H32" s="316"/>
      <c r="I32" s="423"/>
      <c r="J32" s="262" t="str">
        <f t="shared" ref="J32:J72" si="29">IF(F32="Yes",D32,IF(F32="Partly",D32,""))</f>
        <v/>
      </c>
      <c r="K32" s="412"/>
      <c r="L32" s="262"/>
      <c r="M32" s="412"/>
      <c r="N32" s="262" t="str">
        <f t="shared" si="26"/>
        <v/>
      </c>
      <c r="P32"/>
      <c r="Q32" s="389"/>
      <c r="R32"/>
      <c r="S32" s="389"/>
    </row>
    <row r="33" spans="1:19" ht="14.55" hidden="1" x14ac:dyDescent="0.35">
      <c r="A33" s="186"/>
      <c r="B33" s="395"/>
      <c r="C33" s="337"/>
      <c r="D33" s="187"/>
      <c r="E33" t="s">
        <v>308</v>
      </c>
      <c r="F33" s="316"/>
      <c r="G33"/>
      <c r="H33" s="316"/>
      <c r="I33" s="423"/>
      <c r="J33" s="262" t="str">
        <f t="shared" si="29"/>
        <v/>
      </c>
      <c r="K33" s="412"/>
      <c r="L33" s="262"/>
      <c r="M33" s="412"/>
      <c r="N33" s="262" t="str">
        <f t="shared" si="26"/>
        <v/>
      </c>
      <c r="P33"/>
      <c r="Q33" s="389"/>
      <c r="R33"/>
      <c r="S33" s="389"/>
    </row>
    <row r="34" spans="1:19" ht="14.55" hidden="1" x14ac:dyDescent="0.35">
      <c r="A34" s="188" t="s">
        <v>11</v>
      </c>
      <c r="B34" s="384"/>
      <c r="C34" s="338"/>
      <c r="D34" s="189"/>
      <c r="E34" t="s">
        <v>308</v>
      </c>
      <c r="F34" s="316"/>
      <c r="G34"/>
      <c r="H34" s="316"/>
      <c r="I34" s="423"/>
      <c r="J34" s="262" t="str">
        <f t="shared" si="29"/>
        <v/>
      </c>
      <c r="K34" s="412"/>
      <c r="L34" s="262"/>
      <c r="M34" s="412"/>
      <c r="N34" s="262" t="str">
        <f t="shared" si="26"/>
        <v/>
      </c>
      <c r="P34"/>
      <c r="Q34" s="389"/>
      <c r="R34"/>
      <c r="S34" s="389"/>
    </row>
    <row r="35" spans="1:19" ht="28.95" x14ac:dyDescent="0.35">
      <c r="A35" s="182" t="s">
        <v>12</v>
      </c>
      <c r="B35" s="386">
        <v>28470220.277424701</v>
      </c>
      <c r="C35" s="334">
        <v>27287863.073755704</v>
      </c>
      <c r="D35" s="181">
        <v>27287863.073755704</v>
      </c>
      <c r="E35" t="s">
        <v>223</v>
      </c>
      <c r="F35" s="316" t="s">
        <v>301</v>
      </c>
      <c r="G35" s="305" t="s">
        <v>300</v>
      </c>
      <c r="H35" s="319">
        <v>1</v>
      </c>
      <c r="I35" s="426"/>
      <c r="J35" s="262">
        <f t="shared" ref="J35:J36" si="30">IF(F35="Yes",H35*D35,IF(F35="Partly",H35*D35,""))</f>
        <v>27287863.073755704</v>
      </c>
      <c r="K35" s="412"/>
      <c r="L35" s="262">
        <f>J35</f>
        <v>27287863.073755704</v>
      </c>
      <c r="M35" s="412"/>
      <c r="N35" s="262">
        <f t="shared" si="26"/>
        <v>27287863.073755704</v>
      </c>
    </row>
    <row r="36" spans="1:19" ht="43.5" x14ac:dyDescent="0.35">
      <c r="A36" s="182" t="s">
        <v>218</v>
      </c>
      <c r="B36" s="386">
        <v>4428462.6831857804</v>
      </c>
      <c r="C36" s="334">
        <v>2253976.2061207751</v>
      </c>
      <c r="D36" s="181">
        <v>2237798.3623774857</v>
      </c>
      <c r="E36" t="s">
        <v>223</v>
      </c>
      <c r="F36" s="316" t="s">
        <v>301</v>
      </c>
      <c r="G36" s="305" t="s">
        <v>302</v>
      </c>
      <c r="H36" s="319">
        <v>1</v>
      </c>
      <c r="I36" s="426"/>
      <c r="J36" s="262">
        <f t="shared" si="30"/>
        <v>2237798.3623774857</v>
      </c>
      <c r="K36" s="412"/>
      <c r="L36" s="262">
        <f>J36</f>
        <v>2237798.3623774857</v>
      </c>
      <c r="M36" s="412"/>
      <c r="N36" s="262">
        <f t="shared" si="26"/>
        <v>2237798.3623774857</v>
      </c>
      <c r="P36"/>
      <c r="Q36" s="389"/>
      <c r="R36"/>
      <c r="S36" s="389"/>
    </row>
    <row r="37" spans="1:19" ht="14.55" hidden="1" x14ac:dyDescent="0.35">
      <c r="A37" s="190"/>
      <c r="B37" s="397"/>
      <c r="C37" s="339"/>
      <c r="D37" s="187"/>
      <c r="E37" t="s">
        <v>308</v>
      </c>
      <c r="F37" s="316"/>
      <c r="G37"/>
      <c r="H37" s="316"/>
      <c r="I37" s="423"/>
      <c r="J37" s="262" t="str">
        <f t="shared" si="29"/>
        <v/>
      </c>
      <c r="K37" s="412"/>
      <c r="L37" s="262"/>
      <c r="M37" s="412"/>
      <c r="N37" s="262" t="str">
        <f t="shared" si="26"/>
        <v/>
      </c>
      <c r="P37"/>
      <c r="Q37" s="389"/>
      <c r="R37"/>
      <c r="S37" s="389"/>
    </row>
    <row r="38" spans="1:19" ht="14.55" hidden="1" x14ac:dyDescent="0.35">
      <c r="A38" s="191" t="s">
        <v>13</v>
      </c>
      <c r="B38" s="387"/>
      <c r="C38" s="340"/>
      <c r="D38" s="192"/>
      <c r="E38" t="s">
        <v>308</v>
      </c>
      <c r="F38" s="316"/>
      <c r="G38"/>
      <c r="H38" s="316"/>
      <c r="I38" s="423"/>
      <c r="J38" s="262" t="str">
        <f t="shared" si="29"/>
        <v/>
      </c>
      <c r="K38" s="412"/>
      <c r="L38" s="262"/>
      <c r="M38" s="412"/>
      <c r="N38" s="262" t="str">
        <f t="shared" si="26"/>
        <v/>
      </c>
      <c r="P38"/>
      <c r="Q38" s="389"/>
      <c r="R38"/>
      <c r="S38" s="389"/>
    </row>
    <row r="39" spans="1:19" ht="28.8" customHeight="1" x14ac:dyDescent="0.3">
      <c r="A39" s="182" t="s">
        <v>198</v>
      </c>
      <c r="B39" s="386">
        <v>41102750.570637502</v>
      </c>
      <c r="C39" s="334">
        <v>5495927.7592365323</v>
      </c>
      <c r="D39" s="181">
        <v>5367499.9531956846</v>
      </c>
      <c r="E39" t="s">
        <v>223</v>
      </c>
      <c r="F39" s="316" t="s">
        <v>301</v>
      </c>
      <c r="G39" s="914" t="s">
        <v>333</v>
      </c>
      <c r="H39" s="320">
        <v>0.2</v>
      </c>
      <c r="I39" s="427"/>
      <c r="J39" s="262">
        <f t="shared" ref="J39:J46" si="31">IF(F39="Yes",H39*D39,IF(F39="Partly",H39*D39,""))</f>
        <v>1073499.9906391369</v>
      </c>
      <c r="K39" s="412"/>
      <c r="L39" s="321">
        <f t="shared" ref="L39:L45" si="32">J39*2/3</f>
        <v>715666.66042609129</v>
      </c>
      <c r="M39" s="428"/>
      <c r="N39" s="321">
        <f>J39/2</f>
        <v>536749.99531956844</v>
      </c>
      <c r="O39" s="428"/>
      <c r="P39"/>
      <c r="Q39" s="389"/>
      <c r="R39"/>
      <c r="S39" s="389"/>
    </row>
    <row r="40" spans="1:19" x14ac:dyDescent="0.3">
      <c r="A40" s="182" t="s">
        <v>14</v>
      </c>
      <c r="B40" s="386">
        <v>39362643.575999998</v>
      </c>
      <c r="C40" s="334">
        <v>8452014.8888434023</v>
      </c>
      <c r="D40" s="181">
        <v>8452014.8888434023</v>
      </c>
      <c r="E40" t="s">
        <v>223</v>
      </c>
      <c r="F40" s="316" t="s">
        <v>301</v>
      </c>
      <c r="G40" s="914"/>
      <c r="H40" s="320">
        <v>0.15</v>
      </c>
      <c r="I40" s="427"/>
      <c r="J40" s="262">
        <f t="shared" si="31"/>
        <v>1267802.2333265103</v>
      </c>
      <c r="K40" s="412"/>
      <c r="L40" s="262">
        <f t="shared" si="32"/>
        <v>845201.48888434016</v>
      </c>
      <c r="M40" s="412"/>
      <c r="N40" s="321">
        <f>J40*2/3</f>
        <v>845201.48888434016</v>
      </c>
      <c r="O40" s="428"/>
      <c r="P40"/>
      <c r="Q40" s="389"/>
      <c r="R40"/>
      <c r="S40" s="389"/>
    </row>
    <row r="41" spans="1:19" x14ac:dyDescent="0.3">
      <c r="A41" s="182" t="s">
        <v>15</v>
      </c>
      <c r="B41" s="386">
        <v>27967440.8711266</v>
      </c>
      <c r="C41" s="334">
        <v>6859364.5124333706</v>
      </c>
      <c r="D41" s="181">
        <v>6612789.5124333706</v>
      </c>
      <c r="E41" t="s">
        <v>223</v>
      </c>
      <c r="F41" s="316" t="s">
        <v>301</v>
      </c>
      <c r="G41" s="914"/>
      <c r="H41" s="320">
        <v>0.15</v>
      </c>
      <c r="I41" s="427"/>
      <c r="J41" s="262">
        <f t="shared" si="31"/>
        <v>991918.42686500552</v>
      </c>
      <c r="K41" s="412"/>
      <c r="L41" s="262">
        <f t="shared" si="32"/>
        <v>661278.95124333701</v>
      </c>
      <c r="M41" s="412"/>
      <c r="N41" s="321">
        <f>J41*2/3</f>
        <v>661278.95124333701</v>
      </c>
      <c r="O41" s="428"/>
      <c r="P41"/>
      <c r="Q41" s="389"/>
      <c r="R41"/>
      <c r="S41" s="389"/>
    </row>
    <row r="42" spans="1:19" ht="14.55" hidden="1" x14ac:dyDescent="0.35">
      <c r="A42" s="182" t="s">
        <v>16</v>
      </c>
      <c r="B42" s="386">
        <v>11107044.327913901</v>
      </c>
      <c r="C42" s="334">
        <v>3337528.9773084675</v>
      </c>
      <c r="D42" s="181">
        <v>3328123.2769295448</v>
      </c>
      <c r="E42" t="s">
        <v>224</v>
      </c>
      <c r="F42" s="316" t="s">
        <v>301</v>
      </c>
      <c r="G42" s="914"/>
      <c r="H42" s="320">
        <v>0.2</v>
      </c>
      <c r="I42" s="427"/>
      <c r="J42" s="262">
        <f t="shared" si="31"/>
        <v>665624.65538590902</v>
      </c>
      <c r="K42" s="412"/>
      <c r="L42" s="321">
        <f t="shared" si="32"/>
        <v>443749.7702572727</v>
      </c>
      <c r="M42" s="428"/>
      <c r="N42" s="321">
        <f>J42/2</f>
        <v>332812.32769295451</v>
      </c>
      <c r="O42" s="428"/>
      <c r="P42"/>
      <c r="Q42" s="389"/>
      <c r="R42"/>
      <c r="S42" s="389"/>
    </row>
    <row r="43" spans="1:19" ht="14.55" hidden="1" x14ac:dyDescent="0.35">
      <c r="A43" s="182" t="s">
        <v>17</v>
      </c>
      <c r="B43" s="386">
        <v>1429078.6171206001</v>
      </c>
      <c r="C43" s="334">
        <v>1251201.9201551192</v>
      </c>
      <c r="D43" s="181">
        <v>1194176.9201551192</v>
      </c>
      <c r="E43" t="s">
        <v>224</v>
      </c>
      <c r="F43" s="316" t="s">
        <v>301</v>
      </c>
      <c r="G43" s="914"/>
      <c r="H43" s="320">
        <v>0.15</v>
      </c>
      <c r="I43" s="427"/>
      <c r="J43" s="262">
        <f t="shared" si="31"/>
        <v>179126.53802326787</v>
      </c>
      <c r="K43" s="412"/>
      <c r="L43" s="321">
        <f t="shared" si="32"/>
        <v>119417.69201551192</v>
      </c>
      <c r="M43" s="428"/>
      <c r="N43" s="321">
        <f>J43*2/3</f>
        <v>119417.69201551192</v>
      </c>
      <c r="O43" s="428"/>
      <c r="P43"/>
      <c r="Q43" s="389"/>
      <c r="R43"/>
      <c r="S43" s="389"/>
    </row>
    <row r="44" spans="1:19" ht="14.55" hidden="1" x14ac:dyDescent="0.35">
      <c r="A44" s="182" t="s">
        <v>18</v>
      </c>
      <c r="B44" s="386">
        <v>3043005.2127</v>
      </c>
      <c r="C44" s="334">
        <v>1119770.1857853716</v>
      </c>
      <c r="D44" s="181">
        <v>1029072.9727765052</v>
      </c>
      <c r="E44" t="s">
        <v>225</v>
      </c>
      <c r="F44" s="316" t="s">
        <v>301</v>
      </c>
      <c r="G44" s="914"/>
      <c r="H44" s="320">
        <v>0.2</v>
      </c>
      <c r="I44" s="427"/>
      <c r="J44" s="262">
        <f t="shared" si="31"/>
        <v>205814.59455530104</v>
      </c>
      <c r="K44" s="412"/>
      <c r="L44" s="329">
        <f t="shared" si="32"/>
        <v>137209.72970353402</v>
      </c>
      <c r="M44" s="433"/>
      <c r="N44" s="329">
        <f>J44/2</f>
        <v>102907.29727765052</v>
      </c>
      <c r="O44" s="433"/>
      <c r="P44"/>
      <c r="Q44" s="389"/>
      <c r="R44"/>
      <c r="S44" s="389"/>
    </row>
    <row r="45" spans="1:19" ht="14.55" hidden="1" x14ac:dyDescent="0.35">
      <c r="A45" s="182" t="s">
        <v>19</v>
      </c>
      <c r="B45" s="386">
        <v>13920</v>
      </c>
      <c r="C45" s="334">
        <v>215865.68084181397</v>
      </c>
      <c r="D45" s="181">
        <v>214455.68084181397</v>
      </c>
      <c r="E45" t="s">
        <v>225</v>
      </c>
      <c r="F45" s="316" t="s">
        <v>301</v>
      </c>
      <c r="G45" s="914"/>
      <c r="H45" s="320">
        <v>0.15</v>
      </c>
      <c r="I45" s="427"/>
      <c r="J45" s="262">
        <f t="shared" si="31"/>
        <v>32168.352126272093</v>
      </c>
      <c r="K45" s="412"/>
      <c r="L45" s="329">
        <f t="shared" si="32"/>
        <v>21445.568084181396</v>
      </c>
      <c r="M45" s="433"/>
      <c r="N45" s="329">
        <f>J45*2/3</f>
        <v>21445.568084181396</v>
      </c>
      <c r="O45" s="433"/>
      <c r="P45"/>
      <c r="Q45" s="389"/>
      <c r="R45"/>
      <c r="S45" s="389"/>
    </row>
    <row r="46" spans="1:19" ht="115.95" x14ac:dyDescent="0.35">
      <c r="A46" s="182" t="s">
        <v>20</v>
      </c>
      <c r="B46" s="386">
        <v>22210054.466499999</v>
      </c>
      <c r="C46" s="334">
        <v>9227226.9701092523</v>
      </c>
      <c r="D46" s="181">
        <v>8910473.9701092523</v>
      </c>
      <c r="E46" t="s">
        <v>223</v>
      </c>
      <c r="F46" s="316" t="s">
        <v>301</v>
      </c>
      <c r="G46" s="305" t="s">
        <v>304</v>
      </c>
      <c r="H46" s="319">
        <v>1</v>
      </c>
      <c r="I46" s="426"/>
      <c r="J46" s="262">
        <f t="shared" si="31"/>
        <v>8910473.9701092523</v>
      </c>
      <c r="K46" s="412"/>
      <c r="L46" s="262">
        <f>J46</f>
        <v>8910473.9701092523</v>
      </c>
      <c r="M46" s="412"/>
      <c r="N46" s="262">
        <f t="shared" ref="N46:N109" si="33">J46</f>
        <v>8910473.9701092523</v>
      </c>
      <c r="P46"/>
      <c r="Q46" s="389"/>
      <c r="R46"/>
      <c r="S46" s="389"/>
    </row>
    <row r="47" spans="1:19" ht="14.55" hidden="1" x14ac:dyDescent="0.35">
      <c r="A47" s="191" t="s">
        <v>21</v>
      </c>
      <c r="B47" s="398"/>
      <c r="C47" s="341">
        <f>SUM(C39:C46)</f>
        <v>35958900.894713327</v>
      </c>
      <c r="D47" s="193">
        <v>35108607.175284699</v>
      </c>
      <c r="E47" t="s">
        <v>308</v>
      </c>
      <c r="F47" s="316"/>
      <c r="G47"/>
      <c r="H47" s="316"/>
      <c r="I47" s="423"/>
      <c r="J47" s="262" t="str">
        <f t="shared" si="29"/>
        <v/>
      </c>
      <c r="K47" s="412"/>
      <c r="L47" s="262"/>
      <c r="M47" s="412"/>
      <c r="N47" s="262" t="str">
        <f t="shared" si="33"/>
        <v/>
      </c>
      <c r="P47"/>
      <c r="Q47" s="389"/>
      <c r="R47"/>
      <c r="S47" s="389"/>
    </row>
    <row r="48" spans="1:19" ht="14.55" hidden="1" x14ac:dyDescent="0.35">
      <c r="A48" s="190"/>
      <c r="B48" s="397"/>
      <c r="C48" s="339"/>
      <c r="D48" s="187"/>
      <c r="E48" t="s">
        <v>308</v>
      </c>
      <c r="F48" s="316"/>
      <c r="G48"/>
      <c r="H48" s="316"/>
      <c r="I48" s="423"/>
      <c r="J48" s="262" t="str">
        <f t="shared" si="29"/>
        <v/>
      </c>
      <c r="K48" s="412"/>
      <c r="L48" s="262"/>
      <c r="M48" s="412"/>
      <c r="N48" s="262" t="str">
        <f t="shared" si="33"/>
        <v/>
      </c>
      <c r="P48"/>
      <c r="Q48" s="389"/>
      <c r="R48"/>
      <c r="S48" s="389"/>
    </row>
    <row r="49" spans="1:19" ht="14.55" hidden="1" x14ac:dyDescent="0.35">
      <c r="A49" s="194" t="s">
        <v>22</v>
      </c>
      <c r="B49" s="388"/>
      <c r="C49" s="342"/>
      <c r="D49" s="195"/>
      <c r="E49" t="s">
        <v>308</v>
      </c>
      <c r="F49" s="316"/>
      <c r="G49"/>
      <c r="H49" s="316"/>
      <c r="I49" s="423"/>
      <c r="J49" s="262" t="str">
        <f t="shared" si="29"/>
        <v/>
      </c>
      <c r="K49" s="412"/>
      <c r="L49" s="262"/>
      <c r="M49" s="412"/>
      <c r="N49" s="262" t="str">
        <f t="shared" si="33"/>
        <v/>
      </c>
      <c r="P49"/>
      <c r="Q49" s="389"/>
      <c r="R49"/>
      <c r="S49" s="389"/>
    </row>
    <row r="50" spans="1:19" ht="14.55" hidden="1" x14ac:dyDescent="0.35">
      <c r="A50" s="182" t="s">
        <v>23</v>
      </c>
      <c r="B50" s="385"/>
      <c r="C50" s="343"/>
      <c r="D50" s="196"/>
      <c r="E50" t="s">
        <v>308</v>
      </c>
      <c r="F50" s="316"/>
      <c r="G50"/>
      <c r="H50" s="316"/>
      <c r="I50" s="423"/>
      <c r="J50" s="262" t="str">
        <f t="shared" si="29"/>
        <v/>
      </c>
      <c r="K50" s="412"/>
      <c r="L50" s="262"/>
      <c r="M50" s="412"/>
      <c r="N50" s="262" t="str">
        <f t="shared" si="33"/>
        <v/>
      </c>
      <c r="P50"/>
      <c r="Q50" s="389"/>
      <c r="R50"/>
      <c r="S50" s="389"/>
    </row>
    <row r="51" spans="1:19" ht="14.55" x14ac:dyDescent="0.35">
      <c r="A51" s="182" t="s">
        <v>24</v>
      </c>
      <c r="B51" s="386">
        <v>2427066.9592400002</v>
      </c>
      <c r="C51" s="334">
        <v>975627.24497712532</v>
      </c>
      <c r="D51" s="181">
        <v>970844.21217712527</v>
      </c>
      <c r="E51" t="s">
        <v>223</v>
      </c>
      <c r="F51" s="316" t="s">
        <v>301</v>
      </c>
      <c r="H51" s="319">
        <v>1</v>
      </c>
      <c r="I51" s="426"/>
      <c r="J51" s="262">
        <f t="shared" ref="J51:J59" si="34">IF(F51="Yes",H51*D51,IF(F51="Partly",H51*D51,""))</f>
        <v>970844.21217712527</v>
      </c>
      <c r="K51" s="412"/>
      <c r="L51" s="262">
        <f t="shared" ref="L51:L53" si="35">J51</f>
        <v>970844.21217712527</v>
      </c>
      <c r="M51" s="412"/>
      <c r="N51" s="262">
        <f t="shared" si="33"/>
        <v>970844.21217712527</v>
      </c>
      <c r="P51"/>
      <c r="Q51" s="389"/>
      <c r="R51"/>
      <c r="S51" s="389"/>
    </row>
    <row r="52" spans="1:19" ht="14.55" x14ac:dyDescent="0.35">
      <c r="A52" s="182" t="s">
        <v>25</v>
      </c>
      <c r="B52" s="386">
        <v>2652656.8055799999</v>
      </c>
      <c r="C52" s="334">
        <v>957726.64465546643</v>
      </c>
      <c r="D52" s="181">
        <v>954718.43665546644</v>
      </c>
      <c r="E52" t="s">
        <v>223</v>
      </c>
      <c r="F52" s="316" t="s">
        <v>301</v>
      </c>
      <c r="H52" s="319">
        <v>1</v>
      </c>
      <c r="I52" s="426"/>
      <c r="J52" s="262">
        <f t="shared" si="34"/>
        <v>954718.43665546644</v>
      </c>
      <c r="K52" s="412"/>
      <c r="L52" s="262">
        <f t="shared" si="35"/>
        <v>954718.43665546644</v>
      </c>
      <c r="M52" s="412"/>
      <c r="N52" s="262">
        <f t="shared" si="33"/>
        <v>954718.43665546644</v>
      </c>
      <c r="P52"/>
      <c r="Q52" s="389"/>
      <c r="R52"/>
      <c r="S52" s="389"/>
    </row>
    <row r="53" spans="1:19" ht="14.55" x14ac:dyDescent="0.35">
      <c r="A53" s="182" t="s">
        <v>26</v>
      </c>
      <c r="B53" s="386">
        <v>3258844.5</v>
      </c>
      <c r="C53" s="334">
        <v>1196232.8227563512</v>
      </c>
      <c r="D53" s="181">
        <v>1138497.6227563513</v>
      </c>
      <c r="E53" t="s">
        <v>223</v>
      </c>
      <c r="F53" s="316" t="s">
        <v>301</v>
      </c>
      <c r="H53" s="319">
        <v>1</v>
      </c>
      <c r="I53" s="426"/>
      <c r="J53" s="262">
        <f t="shared" si="34"/>
        <v>1138497.6227563513</v>
      </c>
      <c r="K53" s="412"/>
      <c r="L53" s="262">
        <f t="shared" si="35"/>
        <v>1138497.6227563513</v>
      </c>
      <c r="M53" s="412"/>
      <c r="N53" s="262">
        <f t="shared" si="33"/>
        <v>1138497.6227563513</v>
      </c>
      <c r="P53"/>
      <c r="Q53" s="389"/>
      <c r="R53"/>
      <c r="S53" s="389"/>
    </row>
    <row r="54" spans="1:19" ht="14.55" hidden="1" x14ac:dyDescent="0.35">
      <c r="A54" s="182" t="s">
        <v>27</v>
      </c>
      <c r="B54" s="386">
        <v>14599388.8843309</v>
      </c>
      <c r="C54" s="334">
        <v>3529596.7940931069</v>
      </c>
      <c r="D54" s="181">
        <v>3454244.2901668842</v>
      </c>
      <c r="E54" t="s">
        <v>224</v>
      </c>
      <c r="F54" s="316" t="s">
        <v>301</v>
      </c>
      <c r="H54" s="319">
        <v>1</v>
      </c>
      <c r="I54" s="426"/>
      <c r="J54" s="262">
        <f t="shared" si="34"/>
        <v>3454244.2901668842</v>
      </c>
      <c r="K54" s="412"/>
      <c r="L54" s="262">
        <f>J54</f>
        <v>3454244.2901668842</v>
      </c>
      <c r="M54" s="412"/>
      <c r="N54" s="262">
        <f t="shared" si="33"/>
        <v>3454244.2901668842</v>
      </c>
      <c r="P54"/>
      <c r="Q54" s="389"/>
      <c r="R54"/>
      <c r="S54" s="389"/>
    </row>
    <row r="55" spans="1:19" ht="14.55" hidden="1" x14ac:dyDescent="0.35">
      <c r="A55" s="182" t="s">
        <v>28</v>
      </c>
      <c r="B55" s="386">
        <v>29969578.538721401</v>
      </c>
      <c r="C55" s="334">
        <v>6677536.7183089592</v>
      </c>
      <c r="D55" s="181">
        <v>6677536.7183089592</v>
      </c>
      <c r="E55" t="s">
        <v>224</v>
      </c>
      <c r="F55" s="316" t="s">
        <v>301</v>
      </c>
      <c r="H55" s="319">
        <v>1</v>
      </c>
      <c r="I55" s="426"/>
      <c r="J55" s="262">
        <f t="shared" si="34"/>
        <v>6677536.7183089592</v>
      </c>
      <c r="K55" s="412"/>
      <c r="L55" s="262">
        <f t="shared" ref="L55:L59" si="36">J55</f>
        <v>6677536.7183089592</v>
      </c>
      <c r="M55" s="412"/>
      <c r="N55" s="262">
        <f t="shared" si="33"/>
        <v>6677536.7183089592</v>
      </c>
      <c r="P55"/>
      <c r="Q55" s="389"/>
      <c r="R55"/>
      <c r="S55" s="389"/>
    </row>
    <row r="56" spans="1:19" ht="14.55" hidden="1" x14ac:dyDescent="0.35">
      <c r="A56" s="182" t="s">
        <v>29</v>
      </c>
      <c r="B56" s="386">
        <v>15581435.0974677</v>
      </c>
      <c r="C56" s="334">
        <v>2968150.6187020014</v>
      </c>
      <c r="D56" s="181">
        <v>2968150.6187020014</v>
      </c>
      <c r="E56" t="s">
        <v>224</v>
      </c>
      <c r="F56" s="316" t="s">
        <v>301</v>
      </c>
      <c r="H56" s="319">
        <v>1</v>
      </c>
      <c r="I56" s="426"/>
      <c r="J56" s="262">
        <f t="shared" si="34"/>
        <v>2968150.6187020014</v>
      </c>
      <c r="K56" s="412"/>
      <c r="L56" s="262">
        <f t="shared" si="36"/>
        <v>2968150.6187020014</v>
      </c>
      <c r="M56" s="412"/>
      <c r="N56" s="262">
        <f t="shared" si="33"/>
        <v>2968150.6187020014</v>
      </c>
      <c r="P56"/>
      <c r="Q56" s="389"/>
      <c r="R56"/>
      <c r="S56" s="389"/>
    </row>
    <row r="57" spans="1:19" ht="14.55" hidden="1" x14ac:dyDescent="0.35">
      <c r="A57" s="182" t="s">
        <v>30</v>
      </c>
      <c r="B57" s="386">
        <v>7784320.1458977303</v>
      </c>
      <c r="C57" s="334">
        <v>2300873.8955999939</v>
      </c>
      <c r="D57" s="181">
        <v>2300873.8955999939</v>
      </c>
      <c r="E57" t="s">
        <v>224</v>
      </c>
      <c r="F57" s="316" t="s">
        <v>301</v>
      </c>
      <c r="H57" s="319">
        <v>1</v>
      </c>
      <c r="I57" s="426"/>
      <c r="J57" s="262">
        <f t="shared" si="34"/>
        <v>2300873.8955999939</v>
      </c>
      <c r="K57" s="412"/>
      <c r="L57" s="262">
        <f t="shared" si="36"/>
        <v>2300873.8955999939</v>
      </c>
      <c r="M57" s="412"/>
      <c r="N57" s="262">
        <f t="shared" si="33"/>
        <v>2300873.8955999939</v>
      </c>
      <c r="P57"/>
      <c r="Q57" s="389"/>
      <c r="R57"/>
      <c r="S57" s="389"/>
    </row>
    <row r="58" spans="1:19" ht="14.55" hidden="1" x14ac:dyDescent="0.35">
      <c r="A58" s="182" t="s">
        <v>31</v>
      </c>
      <c r="B58" s="386">
        <v>9061967.2131147496</v>
      </c>
      <c r="C58" s="334">
        <v>2006391.1916320217</v>
      </c>
      <c r="D58" s="181">
        <v>2006391.1916320217</v>
      </c>
      <c r="E58" t="s">
        <v>224</v>
      </c>
      <c r="F58" s="316" t="s">
        <v>301</v>
      </c>
      <c r="H58" s="319">
        <v>1</v>
      </c>
      <c r="I58" s="426"/>
      <c r="J58" s="262">
        <f t="shared" si="34"/>
        <v>2006391.1916320217</v>
      </c>
      <c r="K58" s="412"/>
      <c r="L58" s="262">
        <f t="shared" si="36"/>
        <v>2006391.1916320217</v>
      </c>
      <c r="M58" s="412"/>
      <c r="N58" s="262">
        <f t="shared" si="33"/>
        <v>2006391.1916320217</v>
      </c>
      <c r="P58"/>
      <c r="Q58" s="389"/>
      <c r="R58"/>
      <c r="S58" s="389"/>
    </row>
    <row r="59" spans="1:19" ht="14.55" hidden="1" x14ac:dyDescent="0.35">
      <c r="A59" s="182" t="s">
        <v>32</v>
      </c>
      <c r="B59" s="386">
        <v>6171187.5</v>
      </c>
      <c r="C59" s="334">
        <v>1148387.6838577935</v>
      </c>
      <c r="D59" s="181">
        <v>1148387.6838577935</v>
      </c>
      <c r="E59" t="s">
        <v>224</v>
      </c>
      <c r="F59" s="316" t="s">
        <v>301</v>
      </c>
      <c r="H59" s="319">
        <v>1</v>
      </c>
      <c r="I59" s="426"/>
      <c r="J59" s="262">
        <f t="shared" si="34"/>
        <v>1148387.6838577935</v>
      </c>
      <c r="K59" s="412"/>
      <c r="L59" s="262">
        <f t="shared" si="36"/>
        <v>1148387.6838577935</v>
      </c>
      <c r="M59" s="412"/>
      <c r="N59" s="262">
        <f t="shared" si="33"/>
        <v>1148387.6838577935</v>
      </c>
      <c r="P59"/>
      <c r="Q59" s="389"/>
      <c r="R59"/>
      <c r="S59" s="389"/>
    </row>
    <row r="60" spans="1:19" ht="14.55" hidden="1" x14ac:dyDescent="0.35">
      <c r="A60" s="182" t="s">
        <v>33</v>
      </c>
      <c r="B60" s="385"/>
      <c r="C60" s="343"/>
      <c r="D60" s="196"/>
      <c r="E60" t="s">
        <v>308</v>
      </c>
      <c r="F60" s="316"/>
      <c r="G60"/>
      <c r="H60" s="316"/>
      <c r="I60" s="423"/>
      <c r="J60" s="262" t="str">
        <f t="shared" si="29"/>
        <v/>
      </c>
      <c r="K60" s="412"/>
      <c r="L60" s="262"/>
      <c r="M60" s="412"/>
      <c r="N60" s="262" t="str">
        <f t="shared" si="33"/>
        <v/>
      </c>
      <c r="P60"/>
      <c r="Q60" s="389"/>
      <c r="R60"/>
      <c r="S60" s="389"/>
    </row>
    <row r="61" spans="1:19" ht="14.55" hidden="1" x14ac:dyDescent="0.35">
      <c r="A61" s="182" t="s">
        <v>34</v>
      </c>
      <c r="B61" s="385"/>
      <c r="C61" s="343"/>
      <c r="D61" s="196"/>
      <c r="E61" t="s">
        <v>308</v>
      </c>
      <c r="F61" s="316"/>
      <c r="G61"/>
      <c r="H61" s="316"/>
      <c r="I61" s="423"/>
      <c r="J61" s="262" t="str">
        <f t="shared" si="29"/>
        <v/>
      </c>
      <c r="K61" s="412"/>
      <c r="L61" s="262"/>
      <c r="M61" s="412"/>
      <c r="N61" s="262" t="str">
        <f t="shared" si="33"/>
        <v/>
      </c>
      <c r="P61"/>
      <c r="Q61" s="389"/>
      <c r="R61"/>
      <c r="S61" s="389"/>
    </row>
    <row r="62" spans="1:19" ht="14.55" hidden="1" x14ac:dyDescent="0.35">
      <c r="A62" s="182" t="s">
        <v>35</v>
      </c>
      <c r="B62" s="386">
        <v>2924847.9517709999</v>
      </c>
      <c r="C62" s="334">
        <v>2345209.4419055502</v>
      </c>
      <c r="D62" s="181">
        <v>1373314.95190555</v>
      </c>
      <c r="E62" t="s">
        <v>226</v>
      </c>
      <c r="F62" s="316" t="s">
        <v>301</v>
      </c>
      <c r="G62"/>
      <c r="H62" s="319">
        <v>1</v>
      </c>
      <c r="I62" s="426"/>
      <c r="J62" s="262">
        <f t="shared" ref="J62:J66" si="37">IF(F62="Yes",H62*D62,IF(F62="Partly",H62*D62,""))</f>
        <v>1373314.95190555</v>
      </c>
      <c r="K62" s="412"/>
      <c r="L62" s="262">
        <f>J62</f>
        <v>1373314.95190555</v>
      </c>
      <c r="M62" s="412"/>
      <c r="N62" s="262">
        <f t="shared" si="33"/>
        <v>1373314.95190555</v>
      </c>
      <c r="P62"/>
      <c r="Q62" s="389"/>
      <c r="R62"/>
      <c r="S62" s="389"/>
    </row>
    <row r="63" spans="1:19" ht="14.55" x14ac:dyDescent="0.35">
      <c r="A63" s="182" t="s">
        <v>36</v>
      </c>
      <c r="B63" s="386">
        <v>5502162.1229999997</v>
      </c>
      <c r="C63" s="334">
        <v>1342280.7549355766</v>
      </c>
      <c r="D63" s="181">
        <v>1342280.7549355766</v>
      </c>
      <c r="E63" t="s">
        <v>223</v>
      </c>
      <c r="F63" s="316" t="s">
        <v>301</v>
      </c>
      <c r="H63" s="319">
        <v>1</v>
      </c>
      <c r="I63" s="426"/>
      <c r="J63" s="262">
        <f t="shared" si="37"/>
        <v>1342280.7549355766</v>
      </c>
      <c r="K63" s="412"/>
      <c r="L63" s="262">
        <f>J63</f>
        <v>1342280.7549355766</v>
      </c>
      <c r="M63" s="412"/>
      <c r="N63" s="262">
        <f t="shared" si="33"/>
        <v>1342280.7549355766</v>
      </c>
      <c r="P63"/>
      <c r="Q63" s="389"/>
      <c r="R63"/>
      <c r="S63" s="389"/>
    </row>
    <row r="64" spans="1:19" ht="14.55" hidden="1" x14ac:dyDescent="0.35">
      <c r="A64" s="182" t="s">
        <v>216</v>
      </c>
      <c r="B64" s="386">
        <v>4353238.95</v>
      </c>
      <c r="C64" s="334">
        <v>1122986.0010460517</v>
      </c>
      <c r="D64" s="181">
        <v>1122986.0010460517</v>
      </c>
      <c r="E64" t="s">
        <v>226</v>
      </c>
      <c r="F64" s="316" t="s">
        <v>301</v>
      </c>
      <c r="G64"/>
      <c r="H64" s="319">
        <v>1</v>
      </c>
      <c r="I64" s="426"/>
      <c r="J64" s="262">
        <f t="shared" si="37"/>
        <v>1122986.0010460517</v>
      </c>
      <c r="K64" s="412"/>
      <c r="L64" s="262">
        <f>J64</f>
        <v>1122986.0010460517</v>
      </c>
      <c r="M64" s="412"/>
      <c r="N64" s="262">
        <f t="shared" si="33"/>
        <v>1122986.0010460517</v>
      </c>
      <c r="P64"/>
      <c r="Q64" s="389"/>
      <c r="R64"/>
      <c r="S64" s="389"/>
    </row>
    <row r="65" spans="1:19" ht="14.55" hidden="1" x14ac:dyDescent="0.35">
      <c r="A65" s="182" t="s">
        <v>217</v>
      </c>
      <c r="B65" s="386">
        <v>5531052.6831857804</v>
      </c>
      <c r="C65" s="334">
        <v>1519604.2599753535</v>
      </c>
      <c r="D65" s="181">
        <v>1503426.4162320644</v>
      </c>
      <c r="E65" t="s">
        <v>224</v>
      </c>
      <c r="F65" s="316" t="s">
        <v>301</v>
      </c>
      <c r="H65" s="319">
        <v>1</v>
      </c>
      <c r="I65" s="426"/>
      <c r="J65" s="262">
        <f t="shared" si="37"/>
        <v>1503426.4162320644</v>
      </c>
      <c r="K65" s="412"/>
      <c r="L65" s="262">
        <f>J65</f>
        <v>1503426.4162320644</v>
      </c>
      <c r="M65" s="412"/>
      <c r="N65" s="262">
        <f t="shared" si="33"/>
        <v>1503426.4162320644</v>
      </c>
      <c r="P65"/>
      <c r="Q65" s="389"/>
      <c r="R65"/>
      <c r="S65" s="389"/>
    </row>
    <row r="66" spans="1:19" ht="14.55" x14ac:dyDescent="0.35">
      <c r="A66" s="182" t="s">
        <v>37</v>
      </c>
      <c r="B66" s="386">
        <v>38201472.706009001</v>
      </c>
      <c r="C66" s="334">
        <v>17665434.586961299</v>
      </c>
      <c r="D66" s="181">
        <v>17329695.256960094</v>
      </c>
      <c r="E66" t="s">
        <v>223</v>
      </c>
      <c r="F66" s="316" t="s">
        <v>301</v>
      </c>
      <c r="H66" s="319">
        <v>1</v>
      </c>
      <c r="I66" s="426"/>
      <c r="J66" s="262">
        <f t="shared" si="37"/>
        <v>17329695.256960094</v>
      </c>
      <c r="K66" s="412"/>
      <c r="L66" s="262">
        <f>J66</f>
        <v>17329695.256960094</v>
      </c>
      <c r="M66" s="412"/>
      <c r="N66" s="262">
        <f t="shared" si="33"/>
        <v>17329695.256960094</v>
      </c>
      <c r="P66"/>
      <c r="Q66" s="389"/>
      <c r="R66"/>
      <c r="S66" s="389"/>
    </row>
    <row r="67" spans="1:19" ht="14.55" hidden="1" x14ac:dyDescent="0.35">
      <c r="A67" s="194" t="s">
        <v>38</v>
      </c>
      <c r="B67" s="399"/>
      <c r="C67" s="344">
        <f>SUM(C50:C66)</f>
        <v>45756038.659406655</v>
      </c>
      <c r="D67" s="197">
        <v>44291348.050935932</v>
      </c>
      <c r="E67" t="s">
        <v>308</v>
      </c>
      <c r="F67" s="316"/>
      <c r="G67"/>
      <c r="H67" s="316"/>
      <c r="I67" s="423"/>
      <c r="J67" s="262" t="str">
        <f t="shared" si="29"/>
        <v/>
      </c>
      <c r="K67" s="412"/>
      <c r="L67" s="262"/>
      <c r="M67" s="412"/>
      <c r="N67" s="262" t="str">
        <f t="shared" si="33"/>
        <v/>
      </c>
      <c r="P67"/>
      <c r="Q67" s="389"/>
      <c r="R67"/>
      <c r="S67" s="389"/>
    </row>
    <row r="68" spans="1:19" ht="14.55" hidden="1" x14ac:dyDescent="0.35">
      <c r="A68" s="198"/>
      <c r="B68" s="400"/>
      <c r="C68" s="345"/>
      <c r="D68" s="199"/>
      <c r="E68" t="s">
        <v>308</v>
      </c>
      <c r="F68" s="316"/>
      <c r="G68"/>
      <c r="H68" s="316"/>
      <c r="I68" s="423"/>
      <c r="J68" s="262" t="str">
        <f t="shared" si="29"/>
        <v/>
      </c>
      <c r="K68" s="412"/>
      <c r="L68" s="262"/>
      <c r="M68" s="412"/>
      <c r="N68" s="262" t="str">
        <f t="shared" si="33"/>
        <v/>
      </c>
      <c r="P68"/>
      <c r="Q68" s="389"/>
      <c r="R68"/>
      <c r="S68" s="389"/>
    </row>
    <row r="69" spans="1:19" ht="14.55" hidden="1" x14ac:dyDescent="0.35">
      <c r="A69" s="200" t="s">
        <v>189</v>
      </c>
      <c r="B69" s="401"/>
      <c r="C69" s="346">
        <f>C67+SUM(C39:C45)+C103</f>
        <v>91271180.60240531</v>
      </c>
      <c r="D69" s="201">
        <v>87485171.430068031</v>
      </c>
      <c r="E69" t="s">
        <v>308</v>
      </c>
      <c r="F69" s="316"/>
      <c r="G69"/>
      <c r="H69" s="316"/>
      <c r="I69" s="423"/>
      <c r="J69" s="262" t="str">
        <f t="shared" si="29"/>
        <v/>
      </c>
      <c r="K69" s="412"/>
      <c r="L69" s="262"/>
      <c r="M69" s="412"/>
      <c r="N69" s="262" t="str">
        <f t="shared" si="33"/>
        <v/>
      </c>
      <c r="P69"/>
      <c r="Q69" s="389"/>
      <c r="R69"/>
      <c r="S69" s="389"/>
    </row>
    <row r="70" spans="1:19" ht="14.55" hidden="1" x14ac:dyDescent="0.35">
      <c r="A70" s="188" t="s">
        <v>39</v>
      </c>
      <c r="B70" s="396"/>
      <c r="C70" s="347">
        <f>C67+C47+C35+C36</f>
        <v>111256778.83399646</v>
      </c>
      <c r="D70" s="202">
        <v>108925616.66235383</v>
      </c>
      <c r="E70" t="s">
        <v>308</v>
      </c>
      <c r="F70" s="316"/>
      <c r="G70"/>
      <c r="H70" s="316"/>
      <c r="I70" s="423"/>
      <c r="J70" s="262" t="str">
        <f t="shared" si="29"/>
        <v/>
      </c>
      <c r="K70" s="412"/>
      <c r="L70" s="262"/>
      <c r="M70" s="412"/>
      <c r="N70" s="262" t="str">
        <f t="shared" si="33"/>
        <v/>
      </c>
      <c r="P70"/>
      <c r="Q70" s="389"/>
      <c r="R70"/>
      <c r="S70" s="389"/>
    </row>
    <row r="71" spans="1:19" ht="14.55" hidden="1" x14ac:dyDescent="0.35">
      <c r="A71" s="203"/>
      <c r="B71" s="402"/>
      <c r="C71" s="348"/>
      <c r="D71" s="199"/>
      <c r="E71" t="s">
        <v>308</v>
      </c>
      <c r="F71" s="316"/>
      <c r="G71"/>
      <c r="H71" s="316"/>
      <c r="I71" s="423"/>
      <c r="J71" s="262" t="str">
        <f t="shared" si="29"/>
        <v/>
      </c>
      <c r="K71" s="412"/>
      <c r="L71" s="262"/>
      <c r="M71" s="412"/>
      <c r="N71" s="262" t="str">
        <f t="shared" si="33"/>
        <v/>
      </c>
      <c r="P71"/>
      <c r="Q71" s="389"/>
      <c r="R71"/>
      <c r="S71" s="389"/>
    </row>
    <row r="72" spans="1:19" ht="14.55" hidden="1" x14ac:dyDescent="0.35">
      <c r="A72" s="204" t="s">
        <v>40</v>
      </c>
      <c r="B72" s="383"/>
      <c r="C72" s="349"/>
      <c r="D72" s="205"/>
      <c r="E72" t="s">
        <v>308</v>
      </c>
      <c r="F72" s="316"/>
      <c r="G72"/>
      <c r="H72" s="316"/>
      <c r="I72" s="423"/>
      <c r="J72" s="262" t="str">
        <f t="shared" si="29"/>
        <v/>
      </c>
      <c r="K72" s="412"/>
      <c r="L72" s="262"/>
      <c r="M72" s="412"/>
      <c r="N72" s="262" t="str">
        <f t="shared" si="33"/>
        <v/>
      </c>
      <c r="P72"/>
      <c r="Q72" s="389"/>
      <c r="R72"/>
      <c r="S72" s="389"/>
    </row>
    <row r="73" spans="1:19" ht="14.55" hidden="1" x14ac:dyDescent="0.35">
      <c r="A73" s="182" t="s">
        <v>41</v>
      </c>
      <c r="B73" s="386">
        <v>990000</v>
      </c>
      <c r="C73" s="334">
        <v>1065771.0533444288</v>
      </c>
      <c r="D73" s="181">
        <v>1065771.0533444288</v>
      </c>
      <c r="E73" t="s">
        <v>226</v>
      </c>
      <c r="F73" s="316"/>
      <c r="G73"/>
      <c r="H73" s="319"/>
      <c r="I73" s="426"/>
      <c r="J73" s="262" t="str">
        <f t="shared" ref="J73:J102" si="38">IF(F73="Yes",H73*D73,IF(F73="Partly",H73*D73,""))</f>
        <v/>
      </c>
      <c r="K73" s="412"/>
      <c r="L73" s="262"/>
      <c r="M73" s="412"/>
      <c r="N73" s="262" t="str">
        <f t="shared" si="33"/>
        <v/>
      </c>
      <c r="P73"/>
      <c r="Q73" s="389"/>
      <c r="R73"/>
      <c r="S73" s="389"/>
    </row>
    <row r="74" spans="1:19" ht="14.55" hidden="1" x14ac:dyDescent="0.35">
      <c r="A74" s="182" t="s">
        <v>42</v>
      </c>
      <c r="B74" s="441"/>
      <c r="C74" s="335"/>
      <c r="D74" s="184"/>
      <c r="E74" t="s">
        <v>226</v>
      </c>
      <c r="F74" s="316"/>
      <c r="G74"/>
      <c r="H74" s="319"/>
      <c r="I74" s="426"/>
      <c r="J74" s="262" t="str">
        <f t="shared" si="38"/>
        <v/>
      </c>
      <c r="K74" s="412"/>
      <c r="L74" s="262"/>
      <c r="M74" s="412"/>
      <c r="N74" s="262" t="str">
        <f t="shared" si="33"/>
        <v/>
      </c>
      <c r="P74"/>
      <c r="Q74" s="389"/>
      <c r="R74"/>
      <c r="S74" s="389"/>
    </row>
    <row r="75" spans="1:19" ht="14.55" hidden="1" x14ac:dyDescent="0.35">
      <c r="A75" s="182" t="s">
        <v>43</v>
      </c>
      <c r="B75" s="386">
        <v>2922248.4396629999</v>
      </c>
      <c r="C75" s="334">
        <v>1403757.7332113199</v>
      </c>
      <c r="D75" s="181">
        <v>1403757.7332113199</v>
      </c>
      <c r="E75" t="s">
        <v>226</v>
      </c>
      <c r="F75" s="316"/>
      <c r="G75"/>
      <c r="H75" s="319"/>
      <c r="I75" s="426"/>
      <c r="J75" s="262" t="str">
        <f t="shared" si="38"/>
        <v/>
      </c>
      <c r="K75" s="412"/>
      <c r="L75" s="262"/>
      <c r="M75" s="412"/>
      <c r="N75" s="262" t="str">
        <f t="shared" si="33"/>
        <v/>
      </c>
      <c r="P75"/>
      <c r="Q75" s="389"/>
      <c r="R75"/>
      <c r="S75" s="389"/>
    </row>
    <row r="76" spans="1:19" ht="14.55" hidden="1" x14ac:dyDescent="0.35">
      <c r="A76" s="182" t="s">
        <v>44</v>
      </c>
      <c r="B76" s="386">
        <v>1150241.1969111101</v>
      </c>
      <c r="C76" s="334">
        <v>223443.33342822894</v>
      </c>
      <c r="D76" s="181">
        <v>223443.33342822894</v>
      </c>
      <c r="E76" t="s">
        <v>226</v>
      </c>
      <c r="F76" s="316"/>
      <c r="G76"/>
      <c r="H76" s="319"/>
      <c r="I76" s="426"/>
      <c r="J76" s="262" t="str">
        <f t="shared" si="38"/>
        <v/>
      </c>
      <c r="K76" s="412"/>
      <c r="L76" s="262"/>
      <c r="M76" s="412"/>
      <c r="N76" s="262" t="str">
        <f t="shared" si="33"/>
        <v/>
      </c>
      <c r="P76"/>
      <c r="Q76" s="389"/>
      <c r="R76"/>
      <c r="S76" s="389"/>
    </row>
    <row r="77" spans="1:19" ht="14.55" hidden="1" x14ac:dyDescent="0.35">
      <c r="A77" s="182" t="s">
        <v>45</v>
      </c>
      <c r="B77" s="386">
        <v>163710</v>
      </c>
      <c r="C77" s="334">
        <v>163860.05485484516</v>
      </c>
      <c r="D77" s="181">
        <v>154765.05485484516</v>
      </c>
      <c r="E77" t="s">
        <v>226</v>
      </c>
      <c r="F77" s="316"/>
      <c r="G77"/>
      <c r="H77" s="319"/>
      <c r="I77" s="426"/>
      <c r="J77" s="262" t="str">
        <f t="shared" si="38"/>
        <v/>
      </c>
      <c r="K77" s="412"/>
      <c r="L77" s="262"/>
      <c r="M77" s="412"/>
      <c r="N77" s="262" t="str">
        <f t="shared" si="33"/>
        <v/>
      </c>
      <c r="P77"/>
      <c r="Q77" s="389"/>
      <c r="R77"/>
      <c r="S77" s="389"/>
    </row>
    <row r="78" spans="1:19" ht="14.55" hidden="1" x14ac:dyDescent="0.35">
      <c r="A78" s="182" t="s">
        <v>46</v>
      </c>
      <c r="B78" s="441"/>
      <c r="C78" s="350"/>
      <c r="D78" s="196"/>
      <c r="E78" t="s">
        <v>226</v>
      </c>
      <c r="F78" s="316"/>
      <c r="G78"/>
      <c r="H78" s="319"/>
      <c r="I78" s="426"/>
      <c r="J78" s="262" t="str">
        <f t="shared" si="38"/>
        <v/>
      </c>
      <c r="K78" s="412"/>
      <c r="L78" s="262"/>
      <c r="M78" s="412"/>
      <c r="N78" s="262" t="str">
        <f t="shared" si="33"/>
        <v/>
      </c>
      <c r="P78"/>
      <c r="Q78" s="389"/>
      <c r="R78"/>
      <c r="S78" s="389"/>
    </row>
    <row r="79" spans="1:19" ht="14.55" hidden="1" x14ac:dyDescent="0.35">
      <c r="A79" s="182" t="s">
        <v>47</v>
      </c>
      <c r="B79" s="386">
        <v>2879387.4</v>
      </c>
      <c r="C79" s="334">
        <v>1260800.2103991229</v>
      </c>
      <c r="D79" s="181">
        <v>1213685.5822250193</v>
      </c>
      <c r="E79" t="s">
        <v>226</v>
      </c>
      <c r="F79" s="316"/>
      <c r="G79"/>
      <c r="H79" s="319"/>
      <c r="I79" s="426"/>
      <c r="J79" s="262" t="str">
        <f t="shared" si="38"/>
        <v/>
      </c>
      <c r="K79" s="412"/>
      <c r="L79" s="262"/>
      <c r="M79" s="412"/>
      <c r="N79" s="262" t="str">
        <f t="shared" si="33"/>
        <v/>
      </c>
      <c r="P79"/>
      <c r="Q79" s="389"/>
      <c r="R79"/>
      <c r="S79" s="389"/>
    </row>
    <row r="80" spans="1:19" ht="14.55" hidden="1" x14ac:dyDescent="0.35">
      <c r="A80" s="182" t="s">
        <v>48</v>
      </c>
      <c r="B80" s="386">
        <v>1197256.5</v>
      </c>
      <c r="C80" s="334">
        <v>889349.6219281326</v>
      </c>
      <c r="D80" s="181">
        <v>733449.57223730127</v>
      </c>
      <c r="E80" t="s">
        <v>226</v>
      </c>
      <c r="F80" s="316"/>
      <c r="G80"/>
      <c r="H80" s="319"/>
      <c r="I80" s="426"/>
      <c r="J80" s="262" t="str">
        <f t="shared" si="38"/>
        <v/>
      </c>
      <c r="K80" s="412"/>
      <c r="L80" s="262"/>
      <c r="M80" s="412"/>
      <c r="N80" s="262" t="str">
        <f t="shared" si="33"/>
        <v/>
      </c>
      <c r="P80"/>
      <c r="Q80" s="389"/>
      <c r="R80"/>
      <c r="S80" s="389"/>
    </row>
    <row r="81" spans="1:19" ht="14.55" hidden="1" x14ac:dyDescent="0.35">
      <c r="A81" s="182" t="s">
        <v>49</v>
      </c>
      <c r="B81" s="386">
        <v>12519</v>
      </c>
      <c r="C81" s="334">
        <v>87039.351406278598</v>
      </c>
      <c r="D81" s="181">
        <v>84749.551406278595</v>
      </c>
      <c r="E81" t="s">
        <v>226</v>
      </c>
      <c r="F81" s="316"/>
      <c r="G81"/>
      <c r="H81" s="319"/>
      <c r="I81" s="426"/>
      <c r="J81" s="262" t="str">
        <f t="shared" si="38"/>
        <v/>
      </c>
      <c r="K81" s="412"/>
      <c r="L81" s="262"/>
      <c r="M81" s="412"/>
      <c r="N81" s="262" t="str">
        <f t="shared" si="33"/>
        <v/>
      </c>
      <c r="P81"/>
      <c r="Q81" s="389"/>
      <c r="R81"/>
      <c r="S81" s="389"/>
    </row>
    <row r="82" spans="1:19" ht="14.55" hidden="1" x14ac:dyDescent="0.35">
      <c r="A82" s="182" t="s">
        <v>50</v>
      </c>
      <c r="B82" s="386">
        <v>110106</v>
      </c>
      <c r="C82" s="334">
        <v>202114.58486777736</v>
      </c>
      <c r="D82" s="181">
        <v>186822.08486777736</v>
      </c>
      <c r="E82" t="s">
        <v>226</v>
      </c>
      <c r="F82" s="316"/>
      <c r="G82"/>
      <c r="H82" s="319"/>
      <c r="I82" s="426"/>
      <c r="J82" s="262" t="str">
        <f t="shared" si="38"/>
        <v/>
      </c>
      <c r="K82" s="412"/>
      <c r="L82" s="262"/>
      <c r="M82" s="412"/>
      <c r="N82" s="262" t="str">
        <f t="shared" si="33"/>
        <v/>
      </c>
      <c r="P82"/>
      <c r="Q82" s="389"/>
      <c r="R82"/>
      <c r="S82" s="389"/>
    </row>
    <row r="83" spans="1:19" ht="14.55" hidden="1" x14ac:dyDescent="0.35">
      <c r="A83" s="182" t="s">
        <v>51</v>
      </c>
      <c r="B83" s="386">
        <v>16178.4</v>
      </c>
      <c r="C83" s="334">
        <v>124489.53106189765</v>
      </c>
      <c r="D83" s="181">
        <v>121541.68106189765</v>
      </c>
      <c r="E83" t="s">
        <v>226</v>
      </c>
      <c r="F83" s="316"/>
      <c r="G83"/>
      <c r="H83" s="319"/>
      <c r="I83" s="426"/>
      <c r="J83" s="262" t="str">
        <f t="shared" si="38"/>
        <v/>
      </c>
      <c r="K83" s="412"/>
      <c r="L83" s="262"/>
      <c r="M83" s="412"/>
      <c r="N83" s="262" t="str">
        <f t="shared" si="33"/>
        <v/>
      </c>
      <c r="P83"/>
      <c r="Q83" s="389"/>
      <c r="R83"/>
      <c r="S83" s="389"/>
    </row>
    <row r="84" spans="1:19" ht="14.55" hidden="1" x14ac:dyDescent="0.35">
      <c r="A84" s="182" t="s">
        <v>52</v>
      </c>
      <c r="B84" s="386">
        <v>5054661.5</v>
      </c>
      <c r="C84" s="334">
        <v>2175008.4751747278</v>
      </c>
      <c r="D84" s="181">
        <v>1923559.3504361613</v>
      </c>
      <c r="E84" t="s">
        <v>226</v>
      </c>
      <c r="F84" s="316"/>
      <c r="G84"/>
      <c r="H84" s="319"/>
      <c r="I84" s="426"/>
      <c r="J84" s="262" t="str">
        <f t="shared" si="38"/>
        <v/>
      </c>
      <c r="K84" s="412"/>
      <c r="L84" s="262"/>
      <c r="M84" s="412"/>
      <c r="N84" s="262" t="str">
        <f t="shared" si="33"/>
        <v/>
      </c>
      <c r="P84"/>
      <c r="Q84" s="389"/>
      <c r="R84"/>
      <c r="S84" s="389"/>
    </row>
    <row r="85" spans="1:19" ht="14.55" hidden="1" x14ac:dyDescent="0.35">
      <c r="A85" s="182" t="s">
        <v>53</v>
      </c>
      <c r="B85" s="386">
        <v>1707002.6089999999</v>
      </c>
      <c r="C85" s="334">
        <v>802063.78468775935</v>
      </c>
      <c r="D85" s="181">
        <v>763805.58204896294</v>
      </c>
      <c r="E85" t="s">
        <v>226</v>
      </c>
      <c r="F85" s="316"/>
      <c r="G85"/>
      <c r="H85" s="319"/>
      <c r="I85" s="426"/>
      <c r="J85" s="262" t="str">
        <f t="shared" si="38"/>
        <v/>
      </c>
      <c r="K85" s="412"/>
      <c r="L85" s="262"/>
      <c r="M85" s="412"/>
      <c r="N85" s="262" t="str">
        <f t="shared" si="33"/>
        <v/>
      </c>
      <c r="P85"/>
      <c r="Q85" s="389"/>
      <c r="R85"/>
      <c r="S85" s="389"/>
    </row>
    <row r="86" spans="1:19" ht="14.55" hidden="1" x14ac:dyDescent="0.35">
      <c r="A86" s="182" t="s">
        <v>54</v>
      </c>
      <c r="B86" s="386">
        <v>253152.62100000001</v>
      </c>
      <c r="C86" s="334">
        <v>424150.00471853721</v>
      </c>
      <c r="D86" s="181">
        <v>381115.20471853722</v>
      </c>
      <c r="E86" t="s">
        <v>226</v>
      </c>
      <c r="F86" s="316"/>
      <c r="G86"/>
      <c r="H86" s="319"/>
      <c r="I86" s="426"/>
      <c r="J86" s="262" t="str">
        <f t="shared" si="38"/>
        <v/>
      </c>
      <c r="K86" s="412"/>
      <c r="L86" s="262"/>
      <c r="M86" s="412"/>
      <c r="N86" s="262" t="str">
        <f t="shared" si="33"/>
        <v/>
      </c>
      <c r="P86"/>
      <c r="Q86" s="389"/>
      <c r="R86"/>
      <c r="S86" s="389"/>
    </row>
    <row r="87" spans="1:19" ht="14.55" hidden="1" x14ac:dyDescent="0.35">
      <c r="A87" s="182" t="s">
        <v>55</v>
      </c>
      <c r="B87" s="386">
        <v>913640.76</v>
      </c>
      <c r="C87" s="334">
        <v>724947.74903215852</v>
      </c>
      <c r="D87" s="181">
        <v>577829.60070933518</v>
      </c>
      <c r="E87" t="s">
        <v>226</v>
      </c>
      <c r="F87" s="316"/>
      <c r="G87"/>
      <c r="H87" s="319"/>
      <c r="I87" s="426"/>
      <c r="J87" s="262" t="str">
        <f t="shared" si="38"/>
        <v/>
      </c>
      <c r="K87" s="412"/>
      <c r="L87" s="262"/>
      <c r="M87" s="412"/>
      <c r="N87" s="262" t="str">
        <f t="shared" si="33"/>
        <v/>
      </c>
      <c r="P87"/>
      <c r="Q87" s="389"/>
      <c r="R87"/>
      <c r="S87" s="389"/>
    </row>
    <row r="88" spans="1:19" ht="14.55" hidden="1" x14ac:dyDescent="0.35">
      <c r="A88" s="182" t="s">
        <v>56</v>
      </c>
      <c r="B88" s="386">
        <v>317790</v>
      </c>
      <c r="C88" s="334">
        <v>246603.48593411699</v>
      </c>
      <c r="D88" s="181">
        <v>217178.48593411699</v>
      </c>
      <c r="E88" t="s">
        <v>226</v>
      </c>
      <c r="F88" s="316"/>
      <c r="G88"/>
      <c r="H88" s="319"/>
      <c r="I88" s="426"/>
      <c r="J88" s="262" t="str">
        <f t="shared" si="38"/>
        <v/>
      </c>
      <c r="K88" s="412"/>
      <c r="L88" s="262"/>
      <c r="M88" s="412"/>
      <c r="N88" s="262" t="str">
        <f t="shared" si="33"/>
        <v/>
      </c>
      <c r="P88"/>
      <c r="Q88" s="389"/>
      <c r="R88"/>
      <c r="S88" s="389"/>
    </row>
    <row r="89" spans="1:19" ht="14.55" hidden="1" x14ac:dyDescent="0.35">
      <c r="A89" s="182" t="s">
        <v>57</v>
      </c>
      <c r="B89" s="386">
        <v>252787.5</v>
      </c>
      <c r="C89" s="334">
        <v>433607.03951370768</v>
      </c>
      <c r="D89" s="181">
        <v>426785.78951370768</v>
      </c>
      <c r="E89" t="s">
        <v>226</v>
      </c>
      <c r="F89" s="316"/>
      <c r="G89"/>
      <c r="H89" s="319"/>
      <c r="I89" s="426"/>
      <c r="J89" s="262" t="str">
        <f t="shared" si="38"/>
        <v/>
      </c>
      <c r="K89" s="412"/>
      <c r="L89" s="262"/>
      <c r="M89" s="412"/>
      <c r="N89" s="262" t="str">
        <f t="shared" si="33"/>
        <v/>
      </c>
      <c r="P89"/>
      <c r="Q89" s="389"/>
      <c r="R89"/>
      <c r="S89" s="389"/>
    </row>
    <row r="90" spans="1:19" ht="14.55" hidden="1" x14ac:dyDescent="0.35">
      <c r="A90" s="182" t="s">
        <v>58</v>
      </c>
      <c r="B90" s="386">
        <v>173547.9</v>
      </c>
      <c r="C90" s="334">
        <v>206118.79449251326</v>
      </c>
      <c r="D90" s="181">
        <v>206118.79449251326</v>
      </c>
      <c r="E90" t="s">
        <v>226</v>
      </c>
      <c r="F90" s="316"/>
      <c r="G90"/>
      <c r="H90" s="319"/>
      <c r="I90" s="426"/>
      <c r="J90" s="262" t="str">
        <f t="shared" si="38"/>
        <v/>
      </c>
      <c r="K90" s="412"/>
      <c r="L90" s="262"/>
      <c r="M90" s="412"/>
      <c r="N90" s="262" t="str">
        <f t="shared" si="33"/>
        <v/>
      </c>
      <c r="P90"/>
      <c r="Q90" s="389"/>
      <c r="R90"/>
      <c r="S90" s="389"/>
    </row>
    <row r="91" spans="1:19" ht="14.55" hidden="1" x14ac:dyDescent="0.35">
      <c r="A91" s="182" t="s">
        <v>59</v>
      </c>
      <c r="B91" s="441"/>
      <c r="C91" s="335"/>
      <c r="D91" s="184"/>
      <c r="E91" t="s">
        <v>226</v>
      </c>
      <c r="F91" s="316"/>
      <c r="G91"/>
      <c r="H91" s="319"/>
      <c r="I91" s="426"/>
      <c r="J91" s="262" t="str">
        <f t="shared" si="38"/>
        <v/>
      </c>
      <c r="K91" s="412"/>
      <c r="L91" s="262"/>
      <c r="M91" s="412"/>
      <c r="N91" s="262" t="str">
        <f t="shared" si="33"/>
        <v/>
      </c>
      <c r="P91"/>
      <c r="Q91" s="389"/>
      <c r="R91"/>
      <c r="S91" s="389"/>
    </row>
    <row r="92" spans="1:19" ht="14.55" hidden="1" x14ac:dyDescent="0.35">
      <c r="A92" s="182" t="s">
        <v>60</v>
      </c>
      <c r="B92" s="386">
        <v>278705.7</v>
      </c>
      <c r="C92" s="334">
        <v>172191.38991406345</v>
      </c>
      <c r="D92" s="181">
        <v>152488.90904125647</v>
      </c>
      <c r="E92" t="s">
        <v>226</v>
      </c>
      <c r="F92" s="316"/>
      <c r="G92"/>
      <c r="H92" s="319"/>
      <c r="I92" s="426"/>
      <c r="J92" s="262" t="str">
        <f t="shared" si="38"/>
        <v/>
      </c>
      <c r="K92" s="412"/>
      <c r="L92" s="262"/>
      <c r="M92" s="412"/>
      <c r="N92" s="262" t="str">
        <f t="shared" si="33"/>
        <v/>
      </c>
      <c r="P92"/>
      <c r="Q92" s="389"/>
      <c r="R92"/>
      <c r="S92" s="389"/>
    </row>
    <row r="93" spans="1:19" ht="14.55" hidden="1" x14ac:dyDescent="0.35">
      <c r="A93" s="182" t="s">
        <v>61</v>
      </c>
      <c r="B93" s="386">
        <v>3831333.3</v>
      </c>
      <c r="C93" s="334">
        <v>2462104.6480701216</v>
      </c>
      <c r="D93" s="181">
        <v>2209939.7680701218</v>
      </c>
      <c r="E93" t="s">
        <v>226</v>
      </c>
      <c r="F93" s="316"/>
      <c r="G93"/>
      <c r="H93" s="319"/>
      <c r="I93" s="426"/>
      <c r="J93" s="262" t="str">
        <f t="shared" si="38"/>
        <v/>
      </c>
      <c r="K93" s="412"/>
      <c r="L93" s="262"/>
      <c r="M93" s="412"/>
      <c r="N93" s="262" t="str">
        <f t="shared" si="33"/>
        <v/>
      </c>
      <c r="P93"/>
      <c r="Q93" s="389"/>
      <c r="R93"/>
      <c r="S93" s="389"/>
    </row>
    <row r="94" spans="1:19" ht="14.55" hidden="1" x14ac:dyDescent="0.35">
      <c r="A94" s="182" t="s">
        <v>62</v>
      </c>
      <c r="B94" s="386">
        <v>2409031.7999999998</v>
      </c>
      <c r="C94" s="334">
        <v>1052307.465547984</v>
      </c>
      <c r="D94" s="181">
        <v>616446.585547984</v>
      </c>
      <c r="E94" t="s">
        <v>226</v>
      </c>
      <c r="F94" s="316"/>
      <c r="G94"/>
      <c r="H94" s="319"/>
      <c r="I94" s="426"/>
      <c r="J94" s="262" t="str">
        <f t="shared" si="38"/>
        <v/>
      </c>
      <c r="K94" s="412"/>
      <c r="L94" s="262"/>
      <c r="M94" s="412"/>
      <c r="N94" s="262" t="str">
        <f t="shared" si="33"/>
        <v/>
      </c>
      <c r="P94"/>
      <c r="Q94" s="389"/>
      <c r="R94"/>
      <c r="S94" s="389"/>
    </row>
    <row r="95" spans="1:19" ht="14.55" hidden="1" x14ac:dyDescent="0.35">
      <c r="A95" s="182" t="s">
        <v>63</v>
      </c>
      <c r="B95" s="386">
        <v>1127858.401361</v>
      </c>
      <c r="C95" s="334">
        <v>653643.22218940244</v>
      </c>
      <c r="D95" s="181">
        <v>541293.22218940244</v>
      </c>
      <c r="E95" t="s">
        <v>226</v>
      </c>
      <c r="F95" s="316"/>
      <c r="G95"/>
      <c r="H95" s="319"/>
      <c r="I95" s="426"/>
      <c r="J95" s="262" t="str">
        <f t="shared" si="38"/>
        <v/>
      </c>
      <c r="K95" s="412"/>
      <c r="L95" s="262"/>
      <c r="M95" s="412"/>
      <c r="N95" s="262" t="str">
        <f t="shared" si="33"/>
        <v/>
      </c>
      <c r="P95"/>
      <c r="Q95" s="389"/>
      <c r="R95"/>
      <c r="S95" s="389"/>
    </row>
    <row r="96" spans="1:19" ht="14.55" hidden="1" x14ac:dyDescent="0.35">
      <c r="A96" s="182" t="s">
        <v>64</v>
      </c>
      <c r="B96" s="386">
        <v>60373</v>
      </c>
      <c r="C96" s="334">
        <v>146347.31040901237</v>
      </c>
      <c r="D96" s="181">
        <v>139927.31040901237</v>
      </c>
      <c r="E96" t="s">
        <v>226</v>
      </c>
      <c r="F96" s="316"/>
      <c r="G96"/>
      <c r="H96" s="319"/>
      <c r="I96" s="426"/>
      <c r="J96" s="262" t="str">
        <f t="shared" si="38"/>
        <v/>
      </c>
      <c r="K96" s="412"/>
      <c r="L96" s="262"/>
      <c r="M96" s="412"/>
      <c r="N96" s="262" t="str">
        <f t="shared" si="33"/>
        <v/>
      </c>
      <c r="P96"/>
      <c r="Q96" s="389"/>
      <c r="R96"/>
      <c r="S96" s="389"/>
    </row>
    <row r="97" spans="1:19" ht="14.55" hidden="1" x14ac:dyDescent="0.35">
      <c r="A97" s="182" t="s">
        <v>65</v>
      </c>
      <c r="B97" s="386">
        <v>237719.84578599999</v>
      </c>
      <c r="C97" s="334">
        <v>351586.6626468933</v>
      </c>
      <c r="D97" s="181">
        <v>350463.1626468933</v>
      </c>
      <c r="E97" t="s">
        <v>226</v>
      </c>
      <c r="F97" s="316"/>
      <c r="G97"/>
      <c r="H97" s="319"/>
      <c r="I97" s="426"/>
      <c r="J97" s="262" t="str">
        <f t="shared" si="38"/>
        <v/>
      </c>
      <c r="K97" s="412"/>
      <c r="L97" s="262"/>
      <c r="M97" s="412"/>
      <c r="N97" s="262" t="str">
        <f t="shared" si="33"/>
        <v/>
      </c>
      <c r="P97"/>
      <c r="Q97" s="389"/>
      <c r="R97"/>
      <c r="S97" s="389"/>
    </row>
    <row r="98" spans="1:19" ht="14.55" hidden="1" x14ac:dyDescent="0.35">
      <c r="A98" s="182" t="s">
        <v>66</v>
      </c>
      <c r="B98" s="386">
        <v>970039.97615999996</v>
      </c>
      <c r="C98" s="334">
        <v>668058.41338179843</v>
      </c>
      <c r="D98" s="181">
        <v>645953.06338179833</v>
      </c>
      <c r="E98" t="s">
        <v>226</v>
      </c>
      <c r="F98" s="316"/>
      <c r="G98"/>
      <c r="H98" s="319"/>
      <c r="I98" s="426"/>
      <c r="J98" s="262" t="str">
        <f t="shared" si="38"/>
        <v/>
      </c>
      <c r="K98" s="412"/>
      <c r="L98" s="262"/>
      <c r="M98" s="412"/>
      <c r="N98" s="262" t="str">
        <f t="shared" si="33"/>
        <v/>
      </c>
      <c r="P98"/>
      <c r="Q98" s="389"/>
      <c r="R98"/>
      <c r="S98" s="389"/>
    </row>
    <row r="99" spans="1:19" ht="14.55" hidden="1" x14ac:dyDescent="0.35">
      <c r="A99" s="182" t="s">
        <v>200</v>
      </c>
      <c r="B99" s="386">
        <v>4025880</v>
      </c>
      <c r="C99" s="334">
        <v>2464441.0465844646</v>
      </c>
      <c r="D99" s="181">
        <v>2323201.0465844646</v>
      </c>
      <c r="E99" t="s">
        <v>226</v>
      </c>
      <c r="F99" s="316"/>
      <c r="G99"/>
      <c r="H99" s="319"/>
      <c r="I99" s="426"/>
      <c r="J99" s="262" t="str">
        <f t="shared" si="38"/>
        <v/>
      </c>
      <c r="K99" s="412"/>
      <c r="L99" s="262"/>
      <c r="M99" s="412"/>
      <c r="N99" s="262" t="str">
        <f t="shared" si="33"/>
        <v/>
      </c>
      <c r="P99"/>
      <c r="Q99" s="389"/>
      <c r="R99"/>
      <c r="S99" s="389"/>
    </row>
    <row r="100" spans="1:19" ht="14.55" hidden="1" x14ac:dyDescent="0.35">
      <c r="A100" s="182" t="s">
        <v>201</v>
      </c>
      <c r="B100" s="386">
        <v>529727.25378599996</v>
      </c>
      <c r="C100" s="334">
        <v>158120.56664786965</v>
      </c>
      <c r="D100" s="181">
        <v>151572.16664786966</v>
      </c>
      <c r="E100" t="s">
        <v>226</v>
      </c>
      <c r="F100" s="316"/>
      <c r="G100"/>
      <c r="H100" s="319"/>
      <c r="I100" s="426"/>
      <c r="J100" s="262" t="str">
        <f t="shared" si="38"/>
        <v/>
      </c>
      <c r="K100" s="412"/>
      <c r="L100" s="262"/>
      <c r="M100" s="412"/>
      <c r="N100" s="262" t="str">
        <f t="shared" si="33"/>
        <v/>
      </c>
      <c r="P100"/>
      <c r="Q100" s="389"/>
      <c r="R100"/>
      <c r="S100" s="389"/>
    </row>
    <row r="101" spans="1:19" ht="14.55" hidden="1" x14ac:dyDescent="0.35">
      <c r="A101" s="182" t="s">
        <v>67</v>
      </c>
      <c r="B101" s="386">
        <v>319377.69</v>
      </c>
      <c r="C101" s="334">
        <v>123915.39034836867</v>
      </c>
      <c r="D101" s="181">
        <v>96630.390348368659</v>
      </c>
      <c r="E101" t="s">
        <v>226</v>
      </c>
      <c r="F101" s="316"/>
      <c r="G101"/>
      <c r="H101" s="319"/>
      <c r="I101" s="426"/>
      <c r="J101" s="262" t="str">
        <f t="shared" si="38"/>
        <v/>
      </c>
      <c r="K101" s="412"/>
      <c r="L101" s="262"/>
      <c r="M101" s="412"/>
      <c r="N101" s="262" t="str">
        <f t="shared" si="33"/>
        <v/>
      </c>
      <c r="P101"/>
      <c r="Q101" s="389"/>
      <c r="R101"/>
      <c r="S101" s="389"/>
    </row>
    <row r="102" spans="1:19" ht="14.55" hidden="1" x14ac:dyDescent="0.35">
      <c r="A102" s="182" t="s">
        <v>202</v>
      </c>
      <c r="B102" s="386">
        <v>77040</v>
      </c>
      <c r="C102" s="334">
        <v>97627.094599048447</v>
      </c>
      <c r="D102" s="181">
        <v>83396.094599048447</v>
      </c>
      <c r="E102" t="s">
        <v>226</v>
      </c>
      <c r="F102" s="316"/>
      <c r="G102"/>
      <c r="H102" s="319"/>
      <c r="I102" s="426"/>
      <c r="J102" s="262" t="str">
        <f t="shared" si="38"/>
        <v/>
      </c>
      <c r="K102" s="412"/>
      <c r="L102" s="262"/>
      <c r="M102" s="412"/>
      <c r="N102" s="262" t="str">
        <f t="shared" si="33"/>
        <v/>
      </c>
      <c r="P102"/>
      <c r="Q102" s="389"/>
      <c r="R102"/>
      <c r="S102" s="389"/>
    </row>
    <row r="103" spans="1:19" ht="14.55" hidden="1" x14ac:dyDescent="0.35">
      <c r="A103" s="206" t="s">
        <v>68</v>
      </c>
      <c r="B103" s="403"/>
      <c r="C103" s="351">
        <f>SUM(C73:C102)</f>
        <v>18783468.018394582</v>
      </c>
      <c r="D103" s="207">
        <v>16995690.173956651</v>
      </c>
      <c r="E103" t="s">
        <v>308</v>
      </c>
      <c r="F103" s="316"/>
      <c r="G103"/>
      <c r="H103" s="316"/>
      <c r="I103" s="423"/>
      <c r="J103" s="262" t="str">
        <f t="shared" ref="J103:J149" si="39">IF(F103="Yes",D103,IF(F103="Partly",D103,""))</f>
        <v/>
      </c>
      <c r="K103" s="412"/>
      <c r="L103" s="262"/>
      <c r="M103" s="412"/>
      <c r="N103" s="262" t="str">
        <f t="shared" si="33"/>
        <v/>
      </c>
      <c r="P103"/>
      <c r="Q103" s="389"/>
      <c r="R103"/>
      <c r="S103" s="389"/>
    </row>
    <row r="104" spans="1:19" ht="14.55" hidden="1" x14ac:dyDescent="0.35">
      <c r="A104" s="208"/>
      <c r="B104" s="404"/>
      <c r="C104" s="352"/>
      <c r="D104" s="209"/>
      <c r="E104" t="s">
        <v>308</v>
      </c>
      <c r="F104" s="316"/>
      <c r="G104"/>
      <c r="H104" s="316"/>
      <c r="I104" s="423"/>
      <c r="J104" s="262" t="str">
        <f t="shared" si="39"/>
        <v/>
      </c>
      <c r="K104" s="412"/>
      <c r="L104" s="262"/>
      <c r="M104" s="412"/>
      <c r="N104" s="262" t="str">
        <f t="shared" si="33"/>
        <v/>
      </c>
      <c r="P104"/>
      <c r="Q104" s="389"/>
      <c r="R104"/>
      <c r="S104" s="389"/>
    </row>
    <row r="105" spans="1:19" ht="14.55" hidden="1" x14ac:dyDescent="0.35">
      <c r="A105" s="210" t="s">
        <v>69</v>
      </c>
      <c r="B105" s="442">
        <v>660569233.53682208</v>
      </c>
      <c r="C105" s="353">
        <v>5661247.5744060008</v>
      </c>
      <c r="D105" s="211">
        <v>5661247.5744060008</v>
      </c>
      <c r="E105" t="s">
        <v>231</v>
      </c>
      <c r="F105" s="316"/>
      <c r="G105"/>
      <c r="H105" s="319"/>
      <c r="I105" s="426"/>
      <c r="J105" s="262" t="str">
        <f>IF(F105="Yes",H105*D105,IF(F105="Partly",H105*D105,""))</f>
        <v/>
      </c>
      <c r="K105" s="412"/>
      <c r="L105" s="262"/>
      <c r="M105" s="412"/>
      <c r="N105" s="262" t="str">
        <f t="shared" si="33"/>
        <v/>
      </c>
      <c r="P105"/>
      <c r="Q105" s="389"/>
      <c r="R105"/>
      <c r="S105" s="389"/>
    </row>
    <row r="106" spans="1:19" ht="14.55" hidden="1" x14ac:dyDescent="0.35">
      <c r="A106" s="191" t="s">
        <v>227</v>
      </c>
      <c r="B106" s="398"/>
      <c r="C106" s="354"/>
      <c r="D106" s="212"/>
      <c r="E106" t="s">
        <v>308</v>
      </c>
      <c r="F106" s="316"/>
      <c r="G106"/>
      <c r="H106" s="316"/>
      <c r="I106" s="423"/>
      <c r="J106" s="262" t="str">
        <f t="shared" si="39"/>
        <v/>
      </c>
      <c r="K106" s="412"/>
      <c r="L106" s="262"/>
      <c r="M106" s="412"/>
      <c r="N106" s="262" t="str">
        <f t="shared" si="33"/>
        <v/>
      </c>
      <c r="P106"/>
      <c r="Q106" s="389"/>
      <c r="R106"/>
      <c r="S106" s="389"/>
    </row>
    <row r="107" spans="1:19" ht="14.55" hidden="1" x14ac:dyDescent="0.35">
      <c r="A107" s="208"/>
      <c r="B107" s="404"/>
      <c r="C107" s="352"/>
      <c r="D107" s="209"/>
      <c r="E107" t="s">
        <v>308</v>
      </c>
      <c r="F107" s="316"/>
      <c r="G107"/>
      <c r="H107" s="316"/>
      <c r="I107" s="423"/>
      <c r="J107" s="262" t="str">
        <f t="shared" si="39"/>
        <v/>
      </c>
      <c r="K107" s="412"/>
      <c r="L107" s="262"/>
      <c r="M107" s="412"/>
      <c r="N107" s="262" t="str">
        <f t="shared" si="33"/>
        <v/>
      </c>
      <c r="P107"/>
      <c r="Q107" s="389"/>
      <c r="R107"/>
      <c r="S107" s="389"/>
    </row>
    <row r="108" spans="1:19" ht="14.55" hidden="1" x14ac:dyDescent="0.35">
      <c r="A108" s="213" t="s">
        <v>228</v>
      </c>
      <c r="B108" s="405"/>
      <c r="C108" s="355">
        <f>C105+C103+C70+C32</f>
        <v>229548256.6433256</v>
      </c>
      <c r="D108" s="214">
        <v>188438191.46380216</v>
      </c>
      <c r="E108" t="s">
        <v>308</v>
      </c>
      <c r="F108" s="316"/>
      <c r="G108"/>
      <c r="H108" s="316"/>
      <c r="I108" s="423"/>
      <c r="J108" s="262" t="str">
        <f t="shared" si="39"/>
        <v/>
      </c>
      <c r="K108" s="412"/>
      <c r="L108" s="262"/>
      <c r="M108" s="412"/>
      <c r="N108" s="262" t="str">
        <f t="shared" si="33"/>
        <v/>
      </c>
      <c r="P108"/>
      <c r="Q108" s="389"/>
      <c r="R108"/>
      <c r="S108" s="389"/>
    </row>
    <row r="109" spans="1:19" ht="14.55" hidden="1" x14ac:dyDescent="0.35">
      <c r="A109" s="208"/>
      <c r="B109" s="404"/>
      <c r="C109" s="352"/>
      <c r="D109" s="215"/>
      <c r="E109" t="s">
        <v>308</v>
      </c>
      <c r="F109" s="316"/>
      <c r="G109"/>
      <c r="H109" s="316"/>
      <c r="I109" s="423"/>
      <c r="J109" s="262" t="str">
        <f t="shared" si="39"/>
        <v/>
      </c>
      <c r="K109" s="412"/>
      <c r="L109" s="262"/>
      <c r="M109" s="412"/>
      <c r="N109" s="262" t="str">
        <f t="shared" si="33"/>
        <v/>
      </c>
      <c r="P109"/>
      <c r="Q109" s="389"/>
      <c r="R109"/>
      <c r="S109" s="389"/>
    </row>
    <row r="110" spans="1:19" ht="14.55" hidden="1" x14ac:dyDescent="0.35">
      <c r="A110" s="178" t="s">
        <v>70</v>
      </c>
      <c r="B110" s="393"/>
      <c r="C110" s="356"/>
      <c r="D110" s="216"/>
      <c r="E110" t="s">
        <v>308</v>
      </c>
      <c r="F110" s="316"/>
      <c r="G110"/>
      <c r="H110" s="316"/>
      <c r="I110" s="423"/>
      <c r="J110" s="262" t="str">
        <f t="shared" si="39"/>
        <v/>
      </c>
      <c r="K110" s="412"/>
      <c r="L110" s="262"/>
      <c r="M110" s="412"/>
      <c r="N110" s="262" t="str">
        <f t="shared" ref="N110:N149" si="40">J110</f>
        <v/>
      </c>
      <c r="P110"/>
      <c r="Q110" s="389"/>
      <c r="R110"/>
      <c r="S110" s="389"/>
    </row>
    <row r="111" spans="1:19" ht="14.55" hidden="1" x14ac:dyDescent="0.35">
      <c r="A111" s="182" t="s">
        <v>71</v>
      </c>
      <c r="B111" s="394"/>
      <c r="C111" s="334">
        <v>93023.813566368175</v>
      </c>
      <c r="D111" s="181">
        <v>93023.813566368175</v>
      </c>
      <c r="E111" t="s">
        <v>222</v>
      </c>
      <c r="F111" s="316"/>
      <c r="G111"/>
      <c r="H111" s="319"/>
      <c r="I111" s="426"/>
      <c r="J111" s="262" t="str">
        <f t="shared" ref="J111:J112" si="41">IF(F111="Yes",H111*D111,IF(F111="Partly",H111*D111,""))</f>
        <v/>
      </c>
      <c r="K111" s="412"/>
      <c r="L111" s="330" t="str">
        <f>J111</f>
        <v/>
      </c>
      <c r="M111" s="434"/>
      <c r="N111" s="262" t="str">
        <f t="shared" si="40"/>
        <v/>
      </c>
      <c r="P111"/>
      <c r="Q111" s="389"/>
      <c r="R111"/>
      <c r="S111" s="389"/>
    </row>
    <row r="112" spans="1:19" ht="14.55" hidden="1" x14ac:dyDescent="0.35">
      <c r="A112" s="182" t="s">
        <v>72</v>
      </c>
      <c r="B112" s="394"/>
      <c r="C112" s="334">
        <v>4349569.9093552595</v>
      </c>
      <c r="D112" s="181">
        <v>4349569.9093552595</v>
      </c>
      <c r="E112" t="s">
        <v>232</v>
      </c>
      <c r="F112" s="316"/>
      <c r="G112"/>
      <c r="H112" s="319"/>
      <c r="I112" s="426"/>
      <c r="J112" s="262" t="str">
        <f t="shared" si="41"/>
        <v/>
      </c>
      <c r="K112" s="412"/>
      <c r="L112" s="262"/>
      <c r="M112" s="412"/>
      <c r="N112" s="262" t="str">
        <f t="shared" si="40"/>
        <v/>
      </c>
      <c r="P112"/>
      <c r="Q112" s="389"/>
      <c r="R112"/>
      <c r="S112" s="389"/>
    </row>
    <row r="113" spans="1:19" ht="14.55" hidden="1" x14ac:dyDescent="0.35">
      <c r="A113" s="182" t="s">
        <v>73</v>
      </c>
      <c r="B113" s="394"/>
      <c r="C113" s="357"/>
      <c r="D113" s="181">
        <v>0</v>
      </c>
      <c r="E113" t="s">
        <v>308</v>
      </c>
      <c r="F113" s="316"/>
      <c r="G113"/>
      <c r="H113" s="316"/>
      <c r="I113" s="423"/>
      <c r="J113" s="262" t="str">
        <f t="shared" si="39"/>
        <v/>
      </c>
      <c r="K113" s="412"/>
      <c r="L113" s="262"/>
      <c r="M113" s="412"/>
      <c r="N113" s="262" t="str">
        <f t="shared" si="40"/>
        <v/>
      </c>
      <c r="P113"/>
      <c r="Q113" s="389"/>
      <c r="R113"/>
      <c r="S113" s="389"/>
    </row>
    <row r="114" spans="1:19" ht="14.55" hidden="1" x14ac:dyDescent="0.35">
      <c r="A114" s="182" t="s">
        <v>87</v>
      </c>
      <c r="B114" s="394"/>
      <c r="C114" s="357"/>
      <c r="D114" s="181">
        <v>0</v>
      </c>
      <c r="E114" t="s">
        <v>308</v>
      </c>
      <c r="F114" s="316"/>
      <c r="G114"/>
      <c r="H114" s="316"/>
      <c r="I114" s="423"/>
      <c r="J114" s="262" t="str">
        <f t="shared" si="39"/>
        <v/>
      </c>
      <c r="K114" s="412"/>
      <c r="L114" s="262"/>
      <c r="M114" s="412"/>
      <c r="N114" s="262" t="str">
        <f t="shared" si="40"/>
        <v/>
      </c>
      <c r="P114"/>
      <c r="Q114" s="389"/>
      <c r="R114"/>
      <c r="S114" s="389"/>
    </row>
    <row r="115" spans="1:19" ht="14.55" hidden="1" x14ac:dyDescent="0.35">
      <c r="A115" s="178" t="s">
        <v>74</v>
      </c>
      <c r="B115" s="393"/>
      <c r="C115" s="358">
        <f>SUM(C111:C114)</f>
        <v>4442593.7229216276</v>
      </c>
      <c r="D115" s="216">
        <v>4442593.7229216276</v>
      </c>
      <c r="E115" t="s">
        <v>308</v>
      </c>
      <c r="F115" s="316"/>
      <c r="G115"/>
      <c r="H115" s="316"/>
      <c r="I115" s="423"/>
      <c r="J115" s="262" t="str">
        <f t="shared" si="39"/>
        <v/>
      </c>
      <c r="K115" s="412"/>
      <c r="L115" s="262"/>
      <c r="M115" s="412"/>
      <c r="N115" s="262" t="str">
        <f t="shared" si="40"/>
        <v/>
      </c>
      <c r="P115"/>
      <c r="Q115" s="389"/>
      <c r="R115"/>
      <c r="S115" s="389"/>
    </row>
    <row r="116" spans="1:19" ht="14.55" hidden="1" x14ac:dyDescent="0.35">
      <c r="A116" s="217"/>
      <c r="B116" s="406"/>
      <c r="C116" s="359"/>
      <c r="D116" s="218"/>
      <c r="E116" t="s">
        <v>308</v>
      </c>
      <c r="F116" s="316"/>
      <c r="G116"/>
      <c r="H116" s="316"/>
      <c r="I116" s="423"/>
      <c r="J116" s="262" t="str">
        <f t="shared" si="39"/>
        <v/>
      </c>
      <c r="K116" s="412"/>
      <c r="L116" s="262"/>
      <c r="M116" s="412"/>
      <c r="N116" s="262" t="str">
        <f t="shared" si="40"/>
        <v/>
      </c>
      <c r="P116"/>
      <c r="Q116" s="389"/>
      <c r="R116"/>
      <c r="S116" s="389"/>
    </row>
    <row r="117" spans="1:19" ht="14.55" hidden="1" x14ac:dyDescent="0.35">
      <c r="A117" s="188" t="s">
        <v>75</v>
      </c>
      <c r="B117" s="396"/>
      <c r="C117" s="360"/>
      <c r="D117" s="219"/>
      <c r="E117" t="s">
        <v>308</v>
      </c>
      <c r="F117" s="316"/>
      <c r="G117"/>
      <c r="H117" s="316"/>
      <c r="I117" s="423"/>
      <c r="J117" s="262" t="str">
        <f t="shared" si="39"/>
        <v/>
      </c>
      <c r="K117" s="412"/>
      <c r="L117" s="262"/>
      <c r="M117" s="412"/>
      <c r="N117" s="262" t="str">
        <f t="shared" si="40"/>
        <v/>
      </c>
      <c r="P117"/>
      <c r="Q117" s="389"/>
      <c r="R117"/>
      <c r="S117" s="389"/>
    </row>
    <row r="118" spans="1:19" x14ac:dyDescent="0.3">
      <c r="A118" s="182" t="s">
        <v>76</v>
      </c>
      <c r="B118" s="394"/>
      <c r="C118" s="334">
        <v>2107811.2775197369</v>
      </c>
      <c r="D118" s="181">
        <v>2107811.2775197369</v>
      </c>
      <c r="E118" t="s">
        <v>223</v>
      </c>
      <c r="F118" s="316" t="s">
        <v>301</v>
      </c>
      <c r="H118" s="320">
        <v>1</v>
      </c>
      <c r="I118" s="427"/>
      <c r="J118" s="262">
        <f t="shared" ref="J118:J124" si="42">IF(F118="Yes",H118*D118,IF(F118="Partly",H118*D118,""))</f>
        <v>2107811.2775197369</v>
      </c>
      <c r="K118" s="412"/>
      <c r="L118" s="262">
        <f t="shared" ref="L118:L121" si="43">J118</f>
        <v>2107811.2775197369</v>
      </c>
      <c r="M118" s="412"/>
      <c r="N118" s="262">
        <f t="shared" si="40"/>
        <v>2107811.2775197369</v>
      </c>
      <c r="P118"/>
      <c r="Q118" s="389"/>
      <c r="R118"/>
      <c r="S118" s="389"/>
    </row>
    <row r="119" spans="1:19" ht="28.8" x14ac:dyDescent="0.3">
      <c r="A119" s="182" t="s">
        <v>77</v>
      </c>
      <c r="B119" s="394"/>
      <c r="C119" s="334">
        <v>407304.34580523078</v>
      </c>
      <c r="D119" s="181">
        <v>407304.34580523078</v>
      </c>
      <c r="E119" t="s">
        <v>223</v>
      </c>
      <c r="F119" s="316" t="s">
        <v>301</v>
      </c>
      <c r="G119" s="305" t="s">
        <v>305</v>
      </c>
      <c r="H119" s="319">
        <v>1</v>
      </c>
      <c r="I119" s="426"/>
      <c r="J119" s="262">
        <f t="shared" si="42"/>
        <v>407304.34580523078</v>
      </c>
      <c r="K119" s="412"/>
      <c r="L119" s="262">
        <f t="shared" si="43"/>
        <v>407304.34580523078</v>
      </c>
      <c r="M119" s="412"/>
      <c r="N119" s="262">
        <f t="shared" si="40"/>
        <v>407304.34580523078</v>
      </c>
      <c r="P119"/>
      <c r="Q119" s="389"/>
      <c r="R119"/>
      <c r="S119" s="389"/>
    </row>
    <row r="120" spans="1:19" ht="14.55" hidden="1" x14ac:dyDescent="0.35">
      <c r="A120" s="182" t="s">
        <v>78</v>
      </c>
      <c r="B120" s="394"/>
      <c r="C120" s="334">
        <v>770177.25881209597</v>
      </c>
      <c r="D120" s="181">
        <v>770177.25881209597</v>
      </c>
      <c r="E120" t="s">
        <v>224</v>
      </c>
      <c r="F120" s="316" t="s">
        <v>301</v>
      </c>
      <c r="H120" s="320">
        <v>1</v>
      </c>
      <c r="I120" s="427"/>
      <c r="J120" s="262">
        <f t="shared" si="42"/>
        <v>770177.25881209597</v>
      </c>
      <c r="K120" s="412"/>
      <c r="L120" s="262">
        <f t="shared" si="43"/>
        <v>770177.25881209597</v>
      </c>
      <c r="M120" s="412"/>
      <c r="N120" s="262">
        <f t="shared" si="40"/>
        <v>770177.25881209597</v>
      </c>
      <c r="P120"/>
      <c r="Q120" s="389"/>
      <c r="R120"/>
      <c r="S120" s="389"/>
    </row>
    <row r="121" spans="1:19" ht="28.95" hidden="1" x14ac:dyDescent="0.35">
      <c r="A121" s="182" t="s">
        <v>79</v>
      </c>
      <c r="B121" s="394"/>
      <c r="C121" s="334">
        <v>343814.22590423905</v>
      </c>
      <c r="D121" s="181">
        <v>343814.22590423905</v>
      </c>
      <c r="E121" t="s">
        <v>224</v>
      </c>
      <c r="F121" s="316" t="s">
        <v>301</v>
      </c>
      <c r="G121" s="305" t="s">
        <v>305</v>
      </c>
      <c r="H121" s="319">
        <v>1</v>
      </c>
      <c r="I121" s="426"/>
      <c r="J121" s="262">
        <f t="shared" si="42"/>
        <v>343814.22590423905</v>
      </c>
      <c r="K121" s="412"/>
      <c r="L121" s="262">
        <f t="shared" si="43"/>
        <v>343814.22590423905</v>
      </c>
      <c r="M121" s="412"/>
      <c r="N121" s="262">
        <f t="shared" si="40"/>
        <v>343814.22590423905</v>
      </c>
      <c r="P121"/>
      <c r="Q121" s="389"/>
      <c r="R121"/>
      <c r="S121" s="389"/>
    </row>
    <row r="122" spans="1:19" ht="14.55" hidden="1" x14ac:dyDescent="0.35">
      <c r="A122" s="182" t="s">
        <v>80</v>
      </c>
      <c r="B122" s="394"/>
      <c r="C122" s="334">
        <v>2072061.9582732215</v>
      </c>
      <c r="D122" s="181">
        <v>2072061.9582732215</v>
      </c>
      <c r="E122" t="s">
        <v>225</v>
      </c>
      <c r="F122" s="316" t="s">
        <v>301</v>
      </c>
      <c r="H122" s="320">
        <v>1</v>
      </c>
      <c r="I122" s="427"/>
      <c r="J122" s="262">
        <f t="shared" si="42"/>
        <v>2072061.9582732215</v>
      </c>
      <c r="K122" s="412"/>
      <c r="L122" s="329">
        <f>J122</f>
        <v>2072061.9582732215</v>
      </c>
      <c r="M122" s="433"/>
      <c r="N122" s="329">
        <f t="shared" si="40"/>
        <v>2072061.9582732215</v>
      </c>
      <c r="O122" s="433"/>
      <c r="P122"/>
      <c r="Q122" s="389"/>
      <c r="R122"/>
      <c r="S122" s="389"/>
    </row>
    <row r="123" spans="1:19" ht="28.95" hidden="1" x14ac:dyDescent="0.35">
      <c r="A123" s="182" t="s">
        <v>81</v>
      </c>
      <c r="B123" s="394"/>
      <c r="C123" s="334">
        <v>69322.099532619774</v>
      </c>
      <c r="D123" s="181">
        <v>69322.099532619774</v>
      </c>
      <c r="E123" t="s">
        <v>225</v>
      </c>
      <c r="F123" s="316" t="s">
        <v>301</v>
      </c>
      <c r="G123" s="305" t="s">
        <v>305</v>
      </c>
      <c r="H123" s="319">
        <v>1</v>
      </c>
      <c r="I123" s="426"/>
      <c r="J123" s="262">
        <f t="shared" si="42"/>
        <v>69322.099532619774</v>
      </c>
      <c r="K123" s="412"/>
      <c r="L123" s="329">
        <f>J123</f>
        <v>69322.099532619774</v>
      </c>
      <c r="M123" s="433"/>
      <c r="N123" s="329">
        <f t="shared" si="40"/>
        <v>69322.099532619774</v>
      </c>
      <c r="O123" s="433"/>
      <c r="P123"/>
      <c r="Q123" s="389"/>
      <c r="R123"/>
      <c r="S123" s="389"/>
    </row>
    <row r="124" spans="1:19" x14ac:dyDescent="0.3">
      <c r="A124" s="182" t="s">
        <v>82</v>
      </c>
      <c r="B124" s="394"/>
      <c r="C124" s="334">
        <v>1428166.4629099849</v>
      </c>
      <c r="D124" s="181">
        <v>1428166.4629099849</v>
      </c>
      <c r="E124" t="s">
        <v>223</v>
      </c>
      <c r="F124" s="316" t="s">
        <v>303</v>
      </c>
      <c r="H124" s="320"/>
      <c r="I124" s="427"/>
      <c r="J124" s="262" t="str">
        <f t="shared" si="42"/>
        <v/>
      </c>
      <c r="K124" s="412"/>
      <c r="L124" s="262" t="str">
        <f>J124</f>
        <v/>
      </c>
      <c r="M124" s="412"/>
      <c r="N124" s="262" t="str">
        <f t="shared" si="40"/>
        <v/>
      </c>
      <c r="P124"/>
      <c r="Q124" s="389"/>
      <c r="R124"/>
      <c r="S124" s="389"/>
    </row>
    <row r="125" spans="1:19" ht="14.55" hidden="1" x14ac:dyDescent="0.35">
      <c r="A125" s="182" t="s">
        <v>83</v>
      </c>
      <c r="B125" s="394"/>
      <c r="C125" s="357"/>
      <c r="D125" s="181">
        <v>0</v>
      </c>
      <c r="E125" t="s">
        <v>308</v>
      </c>
      <c r="F125" s="316"/>
      <c r="G125"/>
      <c r="H125" s="316"/>
      <c r="I125" s="423"/>
      <c r="J125" s="262" t="str">
        <f t="shared" si="39"/>
        <v/>
      </c>
      <c r="K125" s="412"/>
      <c r="L125" s="262"/>
      <c r="M125" s="412"/>
      <c r="N125" s="262" t="str">
        <f t="shared" si="40"/>
        <v/>
      </c>
      <c r="P125"/>
      <c r="Q125" s="389"/>
      <c r="R125"/>
      <c r="S125" s="389"/>
    </row>
    <row r="126" spans="1:19" ht="14.55" hidden="1" x14ac:dyDescent="0.35">
      <c r="A126" s="182" t="s">
        <v>84</v>
      </c>
      <c r="B126" s="394"/>
      <c r="C126" s="357"/>
      <c r="D126" s="181">
        <v>0</v>
      </c>
      <c r="E126" t="s">
        <v>308</v>
      </c>
      <c r="F126" s="316"/>
      <c r="G126"/>
      <c r="H126" s="316"/>
      <c r="I126" s="423"/>
      <c r="J126" s="262" t="str">
        <f t="shared" si="39"/>
        <v/>
      </c>
      <c r="K126" s="412"/>
      <c r="L126" s="262"/>
      <c r="M126" s="412"/>
      <c r="N126" s="262" t="str">
        <f t="shared" si="40"/>
        <v/>
      </c>
      <c r="P126"/>
      <c r="Q126" s="389"/>
      <c r="R126"/>
      <c r="S126" s="389"/>
    </row>
    <row r="127" spans="1:19" ht="14.55" hidden="1" x14ac:dyDescent="0.35">
      <c r="A127" s="188" t="s">
        <v>85</v>
      </c>
      <c r="B127" s="396"/>
      <c r="C127" s="361">
        <f>SUM(C118:C126)</f>
        <v>7198657.6287571285</v>
      </c>
      <c r="D127" s="219">
        <v>7198657.6287571285</v>
      </c>
      <c r="E127" t="s">
        <v>308</v>
      </c>
      <c r="F127" s="316"/>
      <c r="G127"/>
      <c r="H127" s="316"/>
      <c r="I127" s="423"/>
      <c r="J127" s="262" t="str">
        <f t="shared" si="39"/>
        <v/>
      </c>
      <c r="K127" s="412"/>
      <c r="L127" s="262"/>
      <c r="M127" s="412"/>
      <c r="N127" s="262" t="str">
        <f t="shared" si="40"/>
        <v/>
      </c>
      <c r="P127"/>
      <c r="Q127" s="389"/>
      <c r="R127"/>
      <c r="S127" s="389"/>
    </row>
    <row r="128" spans="1:19" ht="14.55" hidden="1" x14ac:dyDescent="0.35">
      <c r="A128" s="217"/>
      <c r="B128" s="406"/>
      <c r="C128" s="359"/>
      <c r="D128" s="218"/>
      <c r="E128" t="s">
        <v>308</v>
      </c>
      <c r="F128" s="316"/>
      <c r="G128"/>
      <c r="H128" s="316"/>
      <c r="I128" s="423"/>
      <c r="J128" s="262" t="str">
        <f t="shared" si="39"/>
        <v/>
      </c>
      <c r="K128" s="412"/>
      <c r="L128" s="262"/>
      <c r="M128" s="412"/>
      <c r="N128" s="262" t="str">
        <f t="shared" si="40"/>
        <v/>
      </c>
      <c r="P128"/>
      <c r="Q128" s="389"/>
      <c r="R128"/>
      <c r="S128" s="389"/>
    </row>
    <row r="129" spans="1:19" ht="14.55" hidden="1" x14ac:dyDescent="0.35">
      <c r="A129" s="206" t="s">
        <v>86</v>
      </c>
      <c r="B129" s="403"/>
      <c r="C129" s="351"/>
      <c r="D129" s="220"/>
      <c r="E129" t="s">
        <v>308</v>
      </c>
      <c r="F129" s="316"/>
      <c r="G129"/>
      <c r="H129" s="316"/>
      <c r="I129" s="423"/>
      <c r="J129" s="262" t="str">
        <f t="shared" si="39"/>
        <v/>
      </c>
      <c r="K129" s="412"/>
      <c r="L129" s="262"/>
      <c r="M129" s="412"/>
      <c r="N129" s="262" t="str">
        <f t="shared" si="40"/>
        <v/>
      </c>
      <c r="P129"/>
      <c r="Q129" s="389"/>
      <c r="R129"/>
      <c r="S129" s="389"/>
    </row>
    <row r="130" spans="1:19" ht="14.55" hidden="1" x14ac:dyDescent="0.35">
      <c r="A130" s="182" t="s">
        <v>88</v>
      </c>
      <c r="B130" s="394"/>
      <c r="C130" s="334">
        <v>473651.84261813335</v>
      </c>
      <c r="D130" s="181">
        <v>473651.84261813335</v>
      </c>
      <c r="E130" t="s">
        <v>226</v>
      </c>
      <c r="F130" s="316"/>
      <c r="G130"/>
      <c r="H130" s="319"/>
      <c r="I130" s="426"/>
      <c r="J130" s="262" t="str">
        <f t="shared" ref="J130:J131" si="44">IF(F130="Yes",H130*D130,IF(F130="Partly",H130*D130,""))</f>
        <v/>
      </c>
      <c r="K130" s="412"/>
      <c r="L130" s="262"/>
      <c r="M130" s="412"/>
      <c r="N130" s="262" t="str">
        <f t="shared" si="40"/>
        <v/>
      </c>
      <c r="P130"/>
      <c r="Q130" s="389"/>
      <c r="R130"/>
      <c r="S130" s="389"/>
    </row>
    <row r="131" spans="1:19" ht="14.55" hidden="1" x14ac:dyDescent="0.35">
      <c r="A131" s="182" t="s">
        <v>89</v>
      </c>
      <c r="B131" s="394"/>
      <c r="C131" s="334">
        <v>1087634.6595500526</v>
      </c>
      <c r="D131" s="181">
        <v>1087634.6595500526</v>
      </c>
      <c r="E131" t="s">
        <v>226</v>
      </c>
      <c r="F131" s="316"/>
      <c r="G131"/>
      <c r="H131" s="319"/>
      <c r="I131" s="426"/>
      <c r="J131" s="262" t="str">
        <f t="shared" si="44"/>
        <v/>
      </c>
      <c r="K131" s="412"/>
      <c r="L131" s="262"/>
      <c r="M131" s="412"/>
      <c r="N131" s="262" t="str">
        <f t="shared" si="40"/>
        <v/>
      </c>
      <c r="P131"/>
      <c r="Q131" s="389"/>
      <c r="R131"/>
      <c r="S131" s="389"/>
    </row>
    <row r="132" spans="1:19" ht="14.55" hidden="1" x14ac:dyDescent="0.35">
      <c r="A132" s="206" t="s">
        <v>90</v>
      </c>
      <c r="B132" s="403"/>
      <c r="C132" s="362">
        <f>SUM(C130:C131)</f>
        <v>1561286.502168186</v>
      </c>
      <c r="D132" s="220">
        <v>1561286.502168186</v>
      </c>
      <c r="E132" t="s">
        <v>308</v>
      </c>
      <c r="F132" s="316"/>
      <c r="G132"/>
      <c r="H132" s="316"/>
      <c r="I132" s="423"/>
      <c r="J132" s="262" t="str">
        <f t="shared" si="39"/>
        <v/>
      </c>
      <c r="K132" s="412"/>
      <c r="L132" s="262"/>
      <c r="M132" s="412"/>
      <c r="N132" s="262" t="str">
        <f t="shared" si="40"/>
        <v/>
      </c>
      <c r="P132"/>
      <c r="Q132" s="389"/>
      <c r="R132"/>
      <c r="S132" s="389"/>
    </row>
    <row r="133" spans="1:19" ht="14.55" hidden="1" x14ac:dyDescent="0.35">
      <c r="A133" s="217"/>
      <c r="B133" s="406"/>
      <c r="C133" s="359"/>
      <c r="D133" s="218"/>
      <c r="E133" t="s">
        <v>308</v>
      </c>
      <c r="F133" s="316"/>
      <c r="G133"/>
      <c r="H133" s="316"/>
      <c r="I133" s="423"/>
      <c r="J133" s="262" t="str">
        <f t="shared" si="39"/>
        <v/>
      </c>
      <c r="K133" s="412"/>
      <c r="L133" s="262"/>
      <c r="M133" s="412"/>
      <c r="N133" s="262" t="str">
        <f t="shared" si="40"/>
        <v/>
      </c>
      <c r="P133"/>
      <c r="Q133" s="389"/>
      <c r="R133"/>
      <c r="S133" s="389"/>
    </row>
    <row r="134" spans="1:19" ht="14.55" hidden="1" x14ac:dyDescent="0.35">
      <c r="A134" s="221" t="s">
        <v>91</v>
      </c>
      <c r="B134" s="407"/>
      <c r="C134" s="363"/>
      <c r="D134" s="222"/>
      <c r="E134" t="s">
        <v>308</v>
      </c>
      <c r="F134" s="316"/>
      <c r="G134"/>
      <c r="H134" s="316"/>
      <c r="I134" s="423"/>
      <c r="J134" s="262" t="str">
        <f t="shared" si="39"/>
        <v/>
      </c>
      <c r="K134" s="412"/>
      <c r="L134" s="262"/>
      <c r="M134" s="412"/>
      <c r="N134" s="262" t="str">
        <f t="shared" si="40"/>
        <v/>
      </c>
      <c r="P134"/>
      <c r="Q134" s="389"/>
      <c r="R134"/>
      <c r="S134" s="389"/>
    </row>
    <row r="135" spans="1:19" ht="14.55" hidden="1" x14ac:dyDescent="0.35">
      <c r="A135" s="182" t="s">
        <v>92</v>
      </c>
      <c r="B135" s="394"/>
      <c r="C135" s="334">
        <v>7476486.267967687</v>
      </c>
      <c r="D135" s="181">
        <v>7476486.267967687</v>
      </c>
      <c r="E135" t="s">
        <v>230</v>
      </c>
      <c r="F135" s="316"/>
      <c r="G135"/>
      <c r="H135" s="319"/>
      <c r="I135" s="426"/>
      <c r="J135" s="262" t="str">
        <f t="shared" ref="J135:J144" si="45">IF(F135="Yes",H135*D135,IF(F135="Partly",H135*D135,""))</f>
        <v/>
      </c>
      <c r="K135" s="412"/>
      <c r="L135" s="262"/>
      <c r="M135" s="412"/>
      <c r="N135" s="262" t="str">
        <f t="shared" si="40"/>
        <v/>
      </c>
      <c r="P135"/>
      <c r="Q135" s="389"/>
      <c r="R135"/>
      <c r="S135" s="389"/>
    </row>
    <row r="136" spans="1:19" ht="14.55" hidden="1" x14ac:dyDescent="0.35">
      <c r="A136" s="182" t="s">
        <v>93</v>
      </c>
      <c r="B136" s="394"/>
      <c r="C136" s="334">
        <v>136999.40388203855</v>
      </c>
      <c r="D136" s="181">
        <v>136999.40388203855</v>
      </c>
      <c r="E136" t="s">
        <v>331</v>
      </c>
      <c r="F136" s="316"/>
      <c r="G136" s="305" t="s">
        <v>330</v>
      </c>
      <c r="H136" s="319">
        <v>1</v>
      </c>
      <c r="I136" s="426"/>
      <c r="J136" s="262" t="str">
        <f t="shared" si="45"/>
        <v/>
      </c>
      <c r="K136" s="412"/>
      <c r="L136" s="262"/>
      <c r="M136" s="412"/>
      <c r="N136" s="262" t="str">
        <f t="shared" si="40"/>
        <v/>
      </c>
      <c r="P136"/>
      <c r="Q136" s="389"/>
      <c r="R136"/>
      <c r="S136" s="389"/>
    </row>
    <row r="137" spans="1:19" ht="14.55" hidden="1" x14ac:dyDescent="0.35">
      <c r="A137" s="182" t="s">
        <v>94</v>
      </c>
      <c r="B137" s="394"/>
      <c r="C137" s="334">
        <v>4461304.4000000004</v>
      </c>
      <c r="D137" s="181">
        <v>4461304.4000000004</v>
      </c>
      <c r="E137" t="s">
        <v>235</v>
      </c>
      <c r="F137" s="316"/>
      <c r="G137"/>
      <c r="H137" s="319"/>
      <c r="I137" s="426"/>
      <c r="J137" s="262" t="str">
        <f t="shared" si="45"/>
        <v/>
      </c>
      <c r="K137" s="412"/>
      <c r="L137" s="262"/>
      <c r="M137" s="412"/>
      <c r="N137" s="262" t="str">
        <f t="shared" si="40"/>
        <v/>
      </c>
      <c r="P137"/>
      <c r="Q137" s="389"/>
      <c r="R137"/>
      <c r="S137" s="389"/>
    </row>
    <row r="138" spans="1:19" ht="14.55" hidden="1" x14ac:dyDescent="0.35">
      <c r="A138" s="182" t="s">
        <v>95</v>
      </c>
      <c r="B138" s="394"/>
      <c r="C138" s="334">
        <v>6691956.5999999996</v>
      </c>
      <c r="D138" s="181">
        <v>6691956.5999999996</v>
      </c>
      <c r="E138" t="s">
        <v>235</v>
      </c>
      <c r="F138" s="316"/>
      <c r="G138"/>
      <c r="H138" s="319"/>
      <c r="I138" s="426"/>
      <c r="J138" s="262" t="str">
        <f t="shared" si="45"/>
        <v/>
      </c>
      <c r="K138" s="412"/>
      <c r="L138" s="262"/>
      <c r="M138" s="412"/>
      <c r="N138" s="262" t="str">
        <f t="shared" si="40"/>
        <v/>
      </c>
      <c r="P138"/>
      <c r="Q138" s="389"/>
      <c r="R138"/>
      <c r="S138" s="389"/>
    </row>
    <row r="139" spans="1:19" ht="14.55" hidden="1" x14ac:dyDescent="0.35">
      <c r="A139" s="182" t="s">
        <v>96</v>
      </c>
      <c r="B139" s="394"/>
      <c r="C139" s="334">
        <v>17314000</v>
      </c>
      <c r="D139" s="181">
        <v>17314000</v>
      </c>
      <c r="E139" t="s">
        <v>236</v>
      </c>
      <c r="F139" s="316"/>
      <c r="G139"/>
      <c r="H139" s="319"/>
      <c r="I139" s="426"/>
      <c r="J139" s="262" t="str">
        <f t="shared" si="45"/>
        <v/>
      </c>
      <c r="K139" s="412"/>
      <c r="L139" s="262"/>
      <c r="M139" s="412"/>
      <c r="N139" s="262" t="str">
        <f t="shared" si="40"/>
        <v/>
      </c>
      <c r="P139"/>
      <c r="Q139" s="389"/>
      <c r="R139"/>
      <c r="S139" s="389"/>
    </row>
    <row r="140" spans="1:19" ht="14.55" hidden="1" x14ac:dyDescent="0.35">
      <c r="A140" s="314" t="s">
        <v>325</v>
      </c>
      <c r="B140" s="422"/>
      <c r="C140" s="364"/>
      <c r="D140" s="315">
        <v>8865457.5</v>
      </c>
      <c r="E140" t="s">
        <v>222</v>
      </c>
      <c r="F140" s="316" t="s">
        <v>301</v>
      </c>
      <c r="G140"/>
      <c r="H140" s="319">
        <v>1</v>
      </c>
      <c r="I140" s="426"/>
      <c r="J140" s="262">
        <f t="shared" si="45"/>
        <v>8865457.5</v>
      </c>
      <c r="K140" s="412"/>
      <c r="L140" s="330">
        <f>J140</f>
        <v>8865457.5</v>
      </c>
      <c r="M140" s="434"/>
      <c r="N140" s="434">
        <f>L140</f>
        <v>8865457.5</v>
      </c>
      <c r="P140"/>
      <c r="Q140" s="389"/>
      <c r="R140"/>
      <c r="S140" s="389"/>
    </row>
    <row r="141" spans="1:19" x14ac:dyDescent="0.3">
      <c r="A141" s="314" t="s">
        <v>326</v>
      </c>
      <c r="B141" s="422"/>
      <c r="C141" s="364"/>
      <c r="D141" s="315">
        <f>0.1*SUM($D$7:$D$9)</f>
        <v>11376497.274204139</v>
      </c>
      <c r="E141" t="s">
        <v>223</v>
      </c>
      <c r="F141" s="316" t="s">
        <v>664</v>
      </c>
      <c r="G141"/>
      <c r="H141" s="319">
        <v>1</v>
      </c>
      <c r="I141" s="426"/>
      <c r="J141" s="262" t="str">
        <f t="shared" si="45"/>
        <v/>
      </c>
      <c r="K141" s="412"/>
      <c r="L141" s="330"/>
      <c r="M141" s="434"/>
      <c r="P141"/>
      <c r="Q141" s="389"/>
      <c r="R141"/>
      <c r="S141" s="389"/>
    </row>
    <row r="142" spans="1:19" ht="14.55" hidden="1" x14ac:dyDescent="0.35">
      <c r="A142" s="314" t="s">
        <v>325</v>
      </c>
      <c r="B142" s="422"/>
      <c r="C142" s="364"/>
      <c r="D142" s="315"/>
      <c r="E142" t="s">
        <v>222</v>
      </c>
      <c r="F142" s="316" t="s">
        <v>301</v>
      </c>
      <c r="G142"/>
      <c r="H142" s="319">
        <v>1</v>
      </c>
      <c r="I142" s="426"/>
      <c r="J142" s="262"/>
      <c r="K142" s="412"/>
      <c r="L142" s="434"/>
      <c r="M142" s="434"/>
      <c r="P142"/>
      <c r="Q142" s="389"/>
      <c r="R142"/>
      <c r="S142" s="389"/>
    </row>
    <row r="143" spans="1:19" ht="14.55" hidden="1" x14ac:dyDescent="0.35">
      <c r="A143" s="314" t="s">
        <v>325</v>
      </c>
      <c r="B143" s="422"/>
      <c r="C143" s="364"/>
      <c r="D143" s="315"/>
      <c r="E143" t="s">
        <v>222</v>
      </c>
      <c r="F143" s="316" t="s">
        <v>301</v>
      </c>
      <c r="G143"/>
      <c r="H143" s="319">
        <v>1</v>
      </c>
      <c r="I143" s="426"/>
      <c r="J143" s="262"/>
      <c r="K143" s="412"/>
      <c r="L143" s="330"/>
      <c r="M143" s="434"/>
      <c r="P143"/>
      <c r="Q143" s="389"/>
      <c r="R143"/>
      <c r="S143" s="389"/>
    </row>
    <row r="144" spans="1:19" x14ac:dyDescent="0.3">
      <c r="A144" s="314" t="s">
        <v>326</v>
      </c>
      <c r="B144" s="422"/>
      <c r="C144" s="364"/>
      <c r="D144" s="315">
        <f>0.1*SUM($D$7:$D$9)</f>
        <v>11376497.274204139</v>
      </c>
      <c r="E144" t="s">
        <v>223</v>
      </c>
      <c r="F144" s="316" t="s">
        <v>664</v>
      </c>
      <c r="G144"/>
      <c r="H144" s="319">
        <v>1</v>
      </c>
      <c r="I144" s="426"/>
      <c r="J144" s="262" t="str">
        <f t="shared" si="45"/>
        <v/>
      </c>
      <c r="K144" s="412"/>
      <c r="L144" s="330"/>
      <c r="M144" s="434"/>
      <c r="P144"/>
      <c r="Q144" s="389"/>
      <c r="R144"/>
      <c r="S144" s="389"/>
    </row>
    <row r="145" spans="1:19" ht="14.55" hidden="1" x14ac:dyDescent="0.35">
      <c r="A145" s="221" t="s">
        <v>97</v>
      </c>
      <c r="B145" s="407"/>
      <c r="C145" s="365">
        <v>36080746.671849728</v>
      </c>
      <c r="D145" s="222">
        <v>36080746.671849728</v>
      </c>
      <c r="E145" t="s">
        <v>308</v>
      </c>
      <c r="F145" s="316"/>
      <c r="G145"/>
      <c r="H145" s="316"/>
      <c r="I145" s="423"/>
      <c r="J145" s="262" t="str">
        <f t="shared" si="39"/>
        <v/>
      </c>
      <c r="K145" s="412"/>
      <c r="L145" s="262"/>
      <c r="M145" s="412"/>
      <c r="N145" s="262" t="str">
        <f t="shared" si="40"/>
        <v/>
      </c>
      <c r="P145"/>
      <c r="Q145" s="389"/>
      <c r="R145"/>
      <c r="S145" s="389"/>
    </row>
    <row r="146" spans="1:19" ht="14.55" hidden="1" x14ac:dyDescent="0.35">
      <c r="A146" s="217"/>
      <c r="B146" s="406"/>
      <c r="C146" s="359"/>
      <c r="D146" s="218"/>
      <c r="E146" t="s">
        <v>308</v>
      </c>
      <c r="F146" s="316"/>
      <c r="G146"/>
      <c r="H146" s="316"/>
      <c r="I146" s="423"/>
      <c r="J146" s="262" t="str">
        <f t="shared" si="39"/>
        <v/>
      </c>
      <c r="K146" s="412"/>
      <c r="L146" s="262"/>
      <c r="M146" s="412"/>
      <c r="N146" s="262" t="str">
        <f t="shared" si="40"/>
        <v/>
      </c>
      <c r="P146"/>
      <c r="Q146" s="389"/>
      <c r="R146"/>
      <c r="S146" s="389"/>
    </row>
    <row r="147" spans="1:19" ht="14.55" hidden="1" x14ac:dyDescent="0.35">
      <c r="A147" s="223" t="s">
        <v>229</v>
      </c>
      <c r="B147" s="408"/>
      <c r="C147" s="366">
        <v>278831541.16902226</v>
      </c>
      <c r="D147" s="224">
        <v>237721475.98949882</v>
      </c>
      <c r="E147" t="s">
        <v>308</v>
      </c>
      <c r="F147" s="316"/>
      <c r="G147"/>
      <c r="H147" s="316"/>
      <c r="I147" s="423"/>
      <c r="J147" s="262" t="str">
        <f t="shared" si="39"/>
        <v/>
      </c>
      <c r="K147" s="412"/>
      <c r="L147" s="262"/>
      <c r="M147" s="412"/>
      <c r="N147" s="262" t="str">
        <f t="shared" si="40"/>
        <v/>
      </c>
      <c r="P147"/>
      <c r="Q147" s="389"/>
      <c r="R147"/>
      <c r="S147" s="389"/>
    </row>
    <row r="148" spans="1:19" ht="14.55" hidden="1" x14ac:dyDescent="0.35">
      <c r="A148" s="225" t="s">
        <v>194</v>
      </c>
      <c r="B148" s="409"/>
      <c r="C148" s="367">
        <v>278831541.16902226</v>
      </c>
      <c r="D148" s="226">
        <v>278831541.16902226</v>
      </c>
      <c r="E148" t="s">
        <v>308</v>
      </c>
      <c r="F148" s="316"/>
      <c r="G148"/>
      <c r="H148" s="316"/>
      <c r="I148" s="423"/>
      <c r="J148" s="262" t="str">
        <f t="shared" si="39"/>
        <v/>
      </c>
      <c r="K148" s="412"/>
      <c r="L148" s="262"/>
      <c r="M148" s="412"/>
      <c r="N148" s="262" t="str">
        <f t="shared" si="40"/>
        <v/>
      </c>
      <c r="P148"/>
      <c r="Q148" s="389"/>
      <c r="R148"/>
      <c r="S148" s="389"/>
    </row>
    <row r="149" spans="1:19" ht="14.55" hidden="1" x14ac:dyDescent="0.35">
      <c r="A149" s="227" t="s">
        <v>190</v>
      </c>
      <c r="B149" s="410"/>
      <c r="C149" s="368"/>
      <c r="D149" s="228">
        <v>-41110065.179523438</v>
      </c>
      <c r="E149" t="s">
        <v>308</v>
      </c>
      <c r="F149" s="316"/>
      <c r="G149"/>
      <c r="H149" s="316"/>
      <c r="I149" s="423"/>
      <c r="J149" s="262" t="str">
        <f t="shared" si="39"/>
        <v/>
      </c>
      <c r="K149" s="412"/>
      <c r="L149" s="262"/>
      <c r="M149" s="412"/>
      <c r="N149" s="262" t="str">
        <f t="shared" si="40"/>
        <v/>
      </c>
      <c r="P149"/>
      <c r="Q149" s="389"/>
      <c r="R149"/>
      <c r="S149" s="389"/>
    </row>
  </sheetData>
  <autoFilter ref="A21:G149">
    <filterColumn colId="4">
      <filters>
        <filter val="C"/>
      </filters>
    </filterColumn>
  </autoFilter>
  <mergeCells count="1">
    <mergeCell ref="G39:G4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64"/>
  <sheetViews>
    <sheetView workbookViewId="0">
      <selection activeCell="C14" sqref="C14"/>
    </sheetView>
  </sheetViews>
  <sheetFormatPr defaultRowHeight="14.4" x14ac:dyDescent="0.3"/>
  <cols>
    <col min="2" max="2" width="11.44140625" bestFit="1" customWidth="1"/>
    <col min="3" max="3" width="19.21875" bestFit="1" customWidth="1"/>
    <col min="4" max="5" width="15.6640625" bestFit="1" customWidth="1"/>
    <col min="28" max="30" width="13.5546875" bestFit="1" customWidth="1"/>
  </cols>
  <sheetData>
    <row r="1" spans="2:5" ht="43.5" x14ac:dyDescent="0.35">
      <c r="B1" s="371"/>
      <c r="C1" s="322" t="s">
        <v>337</v>
      </c>
      <c r="D1" s="322" t="s">
        <v>348</v>
      </c>
      <c r="E1" s="322" t="s">
        <v>336</v>
      </c>
    </row>
    <row r="2" spans="2:5" ht="14.55" x14ac:dyDescent="0.35">
      <c r="B2" s="371"/>
      <c r="C2" s="372">
        <v>2018</v>
      </c>
      <c r="D2" s="372">
        <v>2019</v>
      </c>
      <c r="E2" s="372">
        <v>2020</v>
      </c>
    </row>
    <row r="3" spans="2:5" ht="14.55" x14ac:dyDescent="0.35">
      <c r="B3" s="371" t="s">
        <v>267</v>
      </c>
      <c r="C3" s="373">
        <f>AB24/1000000</f>
        <v>21.625232318924521</v>
      </c>
      <c r="D3" s="373">
        <f>AC24/1000000</f>
        <v>21.736169761488835</v>
      </c>
      <c r="E3" s="373">
        <f>AD24/1000000</f>
        <v>22.017753492625229</v>
      </c>
    </row>
    <row r="4" spans="2:5" ht="14.55" x14ac:dyDescent="0.35">
      <c r="B4" s="371" t="s">
        <v>244</v>
      </c>
      <c r="C4" s="373">
        <f t="shared" ref="C4:E7" si="0">AB25/1000000</f>
        <v>64.730517748499281</v>
      </c>
      <c r="D4" s="373">
        <f t="shared" si="0"/>
        <v>76.285931687809949</v>
      </c>
      <c r="E4" s="373">
        <f t="shared" si="0"/>
        <v>88.77350251229096</v>
      </c>
    </row>
    <row r="5" spans="2:5" ht="14.55" x14ac:dyDescent="0.35">
      <c r="B5" s="371" t="s">
        <v>246</v>
      </c>
      <c r="C5" s="373">
        <f t="shared" si="0"/>
        <v>2.2657369231676729</v>
      </c>
      <c r="D5" s="373">
        <f t="shared" si="0"/>
        <v>2.3000393555935563</v>
      </c>
      <c r="E5" s="373">
        <f t="shared" si="0"/>
        <v>2.3793670044874142</v>
      </c>
    </row>
    <row r="6" spans="2:5" ht="14.55" x14ac:dyDescent="0.35">
      <c r="B6" s="371" t="s">
        <v>243</v>
      </c>
      <c r="C6" s="373">
        <f t="shared" si="0"/>
        <v>18.503589999999999</v>
      </c>
      <c r="D6" s="373">
        <f t="shared" si="0"/>
        <v>32.868006999999999</v>
      </c>
      <c r="E6" s="373">
        <f t="shared" si="0"/>
        <v>51.163738000000002</v>
      </c>
    </row>
    <row r="7" spans="2:5" ht="14.55" x14ac:dyDescent="0.35">
      <c r="B7" s="371" t="s">
        <v>350</v>
      </c>
      <c r="C7" s="373">
        <f t="shared" si="0"/>
        <v>2.4963009529516018</v>
      </c>
      <c r="D7" s="373">
        <f t="shared" si="0"/>
        <v>2.4963009529516018</v>
      </c>
      <c r="E7" s="373">
        <f t="shared" si="0"/>
        <v>2.4963009529516018</v>
      </c>
    </row>
    <row r="8" spans="2:5" ht="14.55" x14ac:dyDescent="0.35">
      <c r="B8" s="371"/>
      <c r="C8" s="325">
        <f>SUM(C3:C7)</f>
        <v>109.62137794354308</v>
      </c>
      <c r="D8" s="325">
        <f>SUM(D3:D7)</f>
        <v>135.68644875784395</v>
      </c>
      <c r="E8" s="325">
        <f>SUM(E3:E7)</f>
        <v>166.83066196235521</v>
      </c>
    </row>
    <row r="9" spans="2:5" ht="14.55" x14ac:dyDescent="0.35">
      <c r="C9" s="374"/>
      <c r="D9" s="374"/>
      <c r="E9" s="374"/>
    </row>
    <row r="10" spans="2:5" ht="14.55" x14ac:dyDescent="0.35">
      <c r="C10" s="374"/>
      <c r="D10" s="374"/>
      <c r="E10" s="374"/>
    </row>
    <row r="11" spans="2:5" ht="14.55" x14ac:dyDescent="0.35">
      <c r="C11" s="374"/>
      <c r="D11" s="374"/>
      <c r="E11" s="374"/>
    </row>
    <row r="12" spans="2:5" ht="14.55" x14ac:dyDescent="0.35">
      <c r="C12" s="374"/>
      <c r="D12" s="374"/>
      <c r="E12" s="374"/>
    </row>
    <row r="13" spans="2:5" ht="14.55" x14ac:dyDescent="0.35">
      <c r="C13" s="374"/>
      <c r="D13" s="374"/>
      <c r="E13" s="374"/>
    </row>
    <row r="14" spans="2:5" ht="14.55" x14ac:dyDescent="0.35">
      <c r="C14" s="374"/>
      <c r="D14" s="374"/>
      <c r="E14" s="374"/>
    </row>
    <row r="15" spans="2:5" ht="14.55" x14ac:dyDescent="0.35">
      <c r="C15" s="374"/>
      <c r="D15" s="374"/>
      <c r="E15" s="374"/>
    </row>
    <row r="16" spans="2:5" ht="14.55" x14ac:dyDescent="0.35">
      <c r="C16" s="374"/>
      <c r="D16" s="374"/>
      <c r="E16" s="374"/>
    </row>
    <row r="22" spans="27:30" ht="43.5" x14ac:dyDescent="0.35">
      <c r="AB22" s="322" t="s">
        <v>337</v>
      </c>
      <c r="AC22" s="322" t="s">
        <v>348</v>
      </c>
      <c r="AD22" s="322" t="s">
        <v>336</v>
      </c>
    </row>
    <row r="23" spans="27:30" ht="14.55" x14ac:dyDescent="0.35">
      <c r="AB23" s="375">
        <v>2018</v>
      </c>
      <c r="AC23" s="375">
        <v>2019</v>
      </c>
      <c r="AD23" s="375">
        <v>2020</v>
      </c>
    </row>
    <row r="24" spans="27:30" ht="14.55" x14ac:dyDescent="0.35">
      <c r="AA24" t="s">
        <v>267</v>
      </c>
      <c r="AB24" s="262">
        <v>21625232.31892452</v>
      </c>
      <c r="AC24" s="262">
        <v>21736169.761488836</v>
      </c>
      <c r="AD24" s="262">
        <v>22017753.492625229</v>
      </c>
    </row>
    <row r="25" spans="27:30" ht="14.55" x14ac:dyDescent="0.35">
      <c r="AA25" t="s">
        <v>244</v>
      </c>
      <c r="AB25" s="262">
        <v>64730517.748499282</v>
      </c>
      <c r="AC25" s="262">
        <v>76285931.687809944</v>
      </c>
      <c r="AD25" s="262">
        <v>88773502.512290955</v>
      </c>
    </row>
    <row r="26" spans="27:30" ht="14.55" x14ac:dyDescent="0.35">
      <c r="AA26" t="s">
        <v>246</v>
      </c>
      <c r="AB26" s="262">
        <v>2265736.9231676729</v>
      </c>
      <c r="AC26" s="262">
        <v>2300039.3555935565</v>
      </c>
      <c r="AD26" s="262">
        <v>2379367.0044874144</v>
      </c>
    </row>
    <row r="27" spans="27:30" ht="14.55" x14ac:dyDescent="0.35">
      <c r="AA27" t="s">
        <v>243</v>
      </c>
      <c r="AB27" s="262">
        <v>18503590</v>
      </c>
      <c r="AC27" s="262">
        <v>32868007</v>
      </c>
      <c r="AD27" s="262">
        <v>51163738</v>
      </c>
    </row>
    <row r="28" spans="27:30" ht="14.55" x14ac:dyDescent="0.35">
      <c r="AA28" t="s">
        <v>350</v>
      </c>
      <c r="AB28" s="262">
        <v>2496300.9529516017</v>
      </c>
      <c r="AC28" s="262">
        <v>2496300.9529516017</v>
      </c>
      <c r="AD28" s="262">
        <v>2496300.9529516017</v>
      </c>
    </row>
    <row r="29" spans="27:30" ht="14.55" x14ac:dyDescent="0.35">
      <c r="AB29" s="376">
        <f>SUM(AB24:AB28)</f>
        <v>109621377.94354308</v>
      </c>
      <c r="AC29" s="376">
        <f>SUM(AC24:AC28)</f>
        <v>135686448.75784394</v>
      </c>
      <c r="AD29" s="376">
        <f>SUM(AD24:AD28)</f>
        <v>166830661.9623552</v>
      </c>
    </row>
    <row r="35" spans="2:5" ht="14.55" x14ac:dyDescent="0.35">
      <c r="B35" s="371" t="s">
        <v>267</v>
      </c>
      <c r="C35" s="377">
        <f>D35/D40</f>
        <v>0.11132022491854647</v>
      </c>
      <c r="D35" s="378">
        <v>25.695302496300716</v>
      </c>
      <c r="E35" s="379">
        <v>25695302.496300716</v>
      </c>
    </row>
    <row r="36" spans="2:5" x14ac:dyDescent="0.3">
      <c r="B36" s="371" t="s">
        <v>244</v>
      </c>
      <c r="C36" s="377">
        <f>D36/D40</f>
        <v>0.46486099643535056</v>
      </c>
      <c r="D36" s="378">
        <v>107.30075267884274</v>
      </c>
      <c r="E36" s="379">
        <v>107300752.67884274</v>
      </c>
    </row>
    <row r="37" spans="2:5" x14ac:dyDescent="0.3">
      <c r="B37" s="371" t="s">
        <v>246</v>
      </c>
      <c r="C37" s="377">
        <f>D37/D40</f>
        <v>1.4664518715809347E-2</v>
      </c>
      <c r="D37" s="378">
        <v>3.3849127114241604</v>
      </c>
      <c r="E37" s="379">
        <v>3384912.7114241603</v>
      </c>
    </row>
    <row r="38" spans="2:5" x14ac:dyDescent="0.3">
      <c r="B38" s="371" t="s">
        <v>243</v>
      </c>
      <c r="C38" s="377">
        <f>D38/D40</f>
        <v>0.31794476351440981</v>
      </c>
      <c r="D38" s="378">
        <v>73.389061885163756</v>
      </c>
      <c r="E38" s="379">
        <v>73389061.885163754</v>
      </c>
    </row>
    <row r="39" spans="2:5" x14ac:dyDescent="0.3">
      <c r="B39" s="371" t="s">
        <v>350</v>
      </c>
      <c r="C39" s="377">
        <f>D39/D40</f>
        <v>9.120949641588387E-2</v>
      </c>
      <c r="D39" s="378">
        <v>21.05327762907644</v>
      </c>
      <c r="E39" s="379">
        <v>21053277.62907644</v>
      </c>
    </row>
    <row r="40" spans="2:5" x14ac:dyDescent="0.3">
      <c r="B40" s="371"/>
      <c r="C40" s="371"/>
      <c r="D40" s="378">
        <f>SUM(D35:D39)</f>
        <v>230.82330740080781</v>
      </c>
      <c r="E40" s="371"/>
    </row>
    <row r="54" spans="2:5" x14ac:dyDescent="0.3">
      <c r="B54" s="371" t="s">
        <v>351</v>
      </c>
      <c r="C54" s="371"/>
      <c r="D54" s="371">
        <v>277410407.89602178</v>
      </c>
      <c r="E54" s="378">
        <f>D54/1000000</f>
        <v>277.41040789602181</v>
      </c>
    </row>
    <row r="55" spans="2:5" x14ac:dyDescent="0.3">
      <c r="B55" s="371"/>
      <c r="C55" s="371"/>
      <c r="D55" s="371"/>
      <c r="E55" s="371"/>
    </row>
    <row r="56" spans="2:5" x14ac:dyDescent="0.3">
      <c r="B56" s="371"/>
      <c r="C56" s="371">
        <v>2018</v>
      </c>
      <c r="D56" s="371">
        <v>110</v>
      </c>
      <c r="E56" s="371"/>
    </row>
    <row r="57" spans="2:5" x14ac:dyDescent="0.3">
      <c r="B57" s="371"/>
      <c r="C57" s="371">
        <v>2019</v>
      </c>
      <c r="D57" s="371">
        <v>136</v>
      </c>
      <c r="E57" s="371"/>
    </row>
    <row r="58" spans="2:5" x14ac:dyDescent="0.3">
      <c r="B58" s="371"/>
      <c r="C58" s="371">
        <v>2020</v>
      </c>
      <c r="D58" s="371">
        <v>167</v>
      </c>
      <c r="E58" s="371"/>
    </row>
    <row r="59" spans="2:5" x14ac:dyDescent="0.3">
      <c r="B59" s="371"/>
      <c r="C59" s="371"/>
      <c r="D59" s="371"/>
      <c r="E59" s="371"/>
    </row>
    <row r="60" spans="2:5" x14ac:dyDescent="0.3">
      <c r="B60" s="371"/>
      <c r="C60" s="371"/>
      <c r="D60" s="371"/>
      <c r="E60" s="371"/>
    </row>
    <row r="61" spans="2:5" x14ac:dyDescent="0.3">
      <c r="B61" s="371"/>
      <c r="C61" s="380" t="s">
        <v>352</v>
      </c>
      <c r="D61" s="381">
        <f>D56/E54</f>
        <v>0.39652441606022903</v>
      </c>
      <c r="E61" s="371"/>
    </row>
    <row r="62" spans="2:5" x14ac:dyDescent="0.3">
      <c r="B62" s="371"/>
      <c r="C62" s="380" t="s">
        <v>353</v>
      </c>
      <c r="D62" s="381">
        <f>D57/E54</f>
        <v>0.49024836894719226</v>
      </c>
      <c r="E62" s="371"/>
    </row>
    <row r="63" spans="2:5" x14ac:dyDescent="0.3">
      <c r="B63" s="371"/>
      <c r="C63" s="380" t="s">
        <v>354</v>
      </c>
      <c r="D63" s="381">
        <f>D58/E54</f>
        <v>0.60199615892780223</v>
      </c>
      <c r="E63" s="371"/>
    </row>
    <row r="64" spans="2:5" x14ac:dyDescent="0.3">
      <c r="B64" s="371"/>
      <c r="C64" s="371" t="s">
        <v>351</v>
      </c>
      <c r="D64" s="382">
        <f>D54/D54</f>
        <v>1</v>
      </c>
      <c r="E64" s="371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40"/>
  <sheetViews>
    <sheetView topLeftCell="D1" workbookViewId="0">
      <selection activeCell="F12" sqref="F12"/>
    </sheetView>
  </sheetViews>
  <sheetFormatPr defaultColWidth="9.77734375" defaultRowHeight="10.199999999999999" x14ac:dyDescent="0.2"/>
  <cols>
    <col min="1" max="1" width="9.77734375" style="452"/>
    <col min="2" max="2" width="22.33203125" style="452" customWidth="1"/>
    <col min="3" max="18" width="12" style="452" customWidth="1"/>
    <col min="19" max="19" width="16.33203125" style="452" customWidth="1"/>
    <col min="20" max="16384" width="9.77734375" style="452"/>
  </cols>
  <sheetData>
    <row r="2" spans="2:19" ht="10.95" thickBot="1" x14ac:dyDescent="0.3">
      <c r="L2" s="453"/>
      <c r="M2" s="453"/>
      <c r="N2" s="453"/>
      <c r="Q2" s="453"/>
    </row>
    <row r="3" spans="2:19" ht="42.45" thickBot="1" x14ac:dyDescent="0.3">
      <c r="B3" s="454" t="s">
        <v>363</v>
      </c>
      <c r="C3" s="455" t="s">
        <v>364</v>
      </c>
      <c r="D3" s="455" t="s">
        <v>365</v>
      </c>
      <c r="E3" s="455" t="s">
        <v>366</v>
      </c>
      <c r="F3" s="455" t="s">
        <v>367</v>
      </c>
      <c r="G3" s="455" t="s">
        <v>368</v>
      </c>
      <c r="H3" s="455" t="s">
        <v>369</v>
      </c>
      <c r="I3" s="455" t="s">
        <v>370</v>
      </c>
      <c r="J3" s="456" t="s">
        <v>371</v>
      </c>
      <c r="K3" s="455" t="s">
        <v>372</v>
      </c>
      <c r="L3" s="455" t="s">
        <v>373</v>
      </c>
      <c r="M3" s="456" t="s">
        <v>230</v>
      </c>
      <c r="N3" s="456" t="s">
        <v>232</v>
      </c>
      <c r="O3" s="455" t="s">
        <v>374</v>
      </c>
      <c r="P3" s="455" t="s">
        <v>375</v>
      </c>
      <c r="Q3" s="455" t="s">
        <v>376</v>
      </c>
      <c r="R3" s="456" t="s">
        <v>377</v>
      </c>
      <c r="S3" s="457" t="s">
        <v>378</v>
      </c>
    </row>
    <row r="4" spans="2:19" ht="10.95" thickBot="1" x14ac:dyDescent="0.3">
      <c r="B4" s="458" t="s">
        <v>379</v>
      </c>
      <c r="C4" s="459">
        <f>SUM(C5:C9)</f>
        <v>13955244</v>
      </c>
      <c r="D4" s="459">
        <f t="shared" ref="D4:R4" si="0">SUM(D5:D9)</f>
        <v>5134191</v>
      </c>
      <c r="E4" s="459">
        <f t="shared" si="0"/>
        <v>4251229.2200000007</v>
      </c>
      <c r="F4" s="459">
        <f t="shared" si="0"/>
        <v>34087935</v>
      </c>
      <c r="G4" s="459">
        <f t="shared" si="0"/>
        <v>8739228</v>
      </c>
      <c r="H4" s="459">
        <f t="shared" si="0"/>
        <v>28125015</v>
      </c>
      <c r="I4" s="459">
        <f t="shared" si="0"/>
        <v>6812979</v>
      </c>
      <c r="J4" s="459">
        <f t="shared" si="0"/>
        <v>316245</v>
      </c>
      <c r="K4" s="459">
        <f t="shared" si="0"/>
        <v>0</v>
      </c>
      <c r="L4" s="459">
        <f t="shared" si="0"/>
        <v>3478488</v>
      </c>
      <c r="M4" s="459">
        <f t="shared" si="0"/>
        <v>10768180</v>
      </c>
      <c r="N4" s="459">
        <f t="shared" si="0"/>
        <v>9164656</v>
      </c>
      <c r="O4" s="459">
        <f t="shared" si="0"/>
        <v>4383388</v>
      </c>
      <c r="P4" s="459">
        <f t="shared" si="0"/>
        <v>3075165</v>
      </c>
      <c r="Q4" s="459">
        <f t="shared" si="0"/>
        <v>1388954</v>
      </c>
      <c r="R4" s="459">
        <f t="shared" si="0"/>
        <v>6100000</v>
      </c>
      <c r="S4" s="460">
        <f>SUM(C4:R4)</f>
        <v>139780897.22</v>
      </c>
    </row>
    <row r="5" spans="2:19" ht="10.5" x14ac:dyDescent="0.25">
      <c r="B5" s="461" t="s">
        <v>380</v>
      </c>
      <c r="C5" s="462">
        <f>+'[5]App B.1 Budget'!$D$9</f>
        <v>530637</v>
      </c>
      <c r="D5" s="462">
        <f>+'[5]App B.1 Budget'!$D$12</f>
        <v>191869</v>
      </c>
      <c r="E5" s="462">
        <f>+'[5]App B.1 Budget'!$D$13</f>
        <v>440538</v>
      </c>
      <c r="F5" s="462">
        <f>+'[5]App B.1 Budget'!$D$21</f>
        <v>906082</v>
      </c>
      <c r="G5" s="462">
        <f>+'[5]App B.1 Budget'!$D$22</f>
        <v>401068</v>
      </c>
      <c r="H5" s="462">
        <f>+'[5]App B.1 Budget'!$D$37</f>
        <v>322978</v>
      </c>
      <c r="I5" s="462">
        <f>+'[5]App B.1 Budget'!$D$36</f>
        <v>608440</v>
      </c>
      <c r="J5" s="462">
        <f>+'[5]App B.1 Budget'!$D$35</f>
        <v>49635</v>
      </c>
      <c r="K5" s="462">
        <v>0</v>
      </c>
      <c r="L5" s="462">
        <f>+'[5]App B.1 Budget'!$D$44+'[5]App B.1 Budget'!$D$45</f>
        <v>660900</v>
      </c>
      <c r="M5" s="462">
        <f>+'[5]App B.1 Budget'!$D$49</f>
        <v>2041021</v>
      </c>
      <c r="N5" s="462">
        <f>+'[5]App B.1 Budget'!$D$53</f>
        <v>1516167</v>
      </c>
      <c r="O5" s="462">
        <f>+'[5]App B.1 Budget'!$D$90</f>
        <v>336532</v>
      </c>
      <c r="P5" s="462">
        <f>+'[5]App B.1 Budget'!$D$87</f>
        <v>135620</v>
      </c>
      <c r="Q5" s="462">
        <f>+'[5]App B.1 Budget'!$D$88+'[5]App B.1 Budget'!$D$89</f>
        <v>160936</v>
      </c>
      <c r="R5" s="462">
        <v>0</v>
      </c>
      <c r="S5" s="463">
        <f>SUM(C5:R5)</f>
        <v>8302423</v>
      </c>
    </row>
    <row r="6" spans="2:19" ht="10.5" x14ac:dyDescent="0.25">
      <c r="B6" s="464" t="s">
        <v>381</v>
      </c>
      <c r="C6" s="462">
        <f>+'[5]App B.1 Budget'!$H$9</f>
        <v>2037129</v>
      </c>
      <c r="D6" s="462">
        <f>+'[5]App B.1 Budget'!$H$12</f>
        <v>217790</v>
      </c>
      <c r="E6" s="462">
        <f>+'[5]App B.1 Budget'!$H$13</f>
        <v>408283</v>
      </c>
      <c r="F6" s="462">
        <f>+'[5]App B.1 Budget'!$H$21</f>
        <v>105951</v>
      </c>
      <c r="G6" s="462">
        <f>+'[5]App B.1 Budget'!$H$22</f>
        <v>101050</v>
      </c>
      <c r="H6" s="462">
        <f>+'[5]App B.1 Budget'!$H$37</f>
        <v>195917</v>
      </c>
      <c r="I6" s="462">
        <f>+'[5]App B.1 Budget'!$H$36</f>
        <v>164458</v>
      </c>
      <c r="J6" s="462">
        <f>+'[5]App B.1 Budget'!$H$35</f>
        <v>0</v>
      </c>
      <c r="K6" s="462">
        <v>0</v>
      </c>
      <c r="L6" s="462">
        <f>+'[5]App B.1 Budget'!$H$44+'[5]App B.1 Budget'!$H$45</f>
        <v>0</v>
      </c>
      <c r="M6" s="462">
        <f>+'[5]App B.1 Budget'!$H$49</f>
        <v>102071</v>
      </c>
      <c r="N6" s="462">
        <f>+'[5]App B.1 Budget'!$H$53</f>
        <v>303808</v>
      </c>
      <c r="O6" s="462">
        <f>+'[5]App B.1 Budget'!$H$90</f>
        <v>86760</v>
      </c>
      <c r="P6" s="462">
        <f>+'[5]App B.1 Budget'!$H$87</f>
        <v>34704</v>
      </c>
      <c r="Q6" s="462">
        <f>+'[5]App B.1 Budget'!$H$88+'[5]App B.1 Budget'!$H$89</f>
        <v>1276</v>
      </c>
      <c r="R6" s="462">
        <v>6100000</v>
      </c>
      <c r="S6" s="465">
        <f>SUM(C6:R6)</f>
        <v>9859197</v>
      </c>
    </row>
    <row r="7" spans="2:19" ht="10.5" x14ac:dyDescent="0.25">
      <c r="B7" s="466" t="s">
        <v>382</v>
      </c>
      <c r="C7" s="462">
        <f>+'[5]App B.1 Budget'!$L$9</f>
        <v>2207728</v>
      </c>
      <c r="D7" s="462">
        <f>+'[5]App B.1 Budget'!$L$12</f>
        <v>2044530</v>
      </c>
      <c r="E7" s="462">
        <f>+'[5]App B.1 Budget'!$L$13</f>
        <v>758186</v>
      </c>
      <c r="F7" s="462">
        <f>+'[5]App B.1 Budget'!$L$21</f>
        <v>12650226</v>
      </c>
      <c r="G7" s="462">
        <f>+'[5]App B.1 Budget'!$L$22</f>
        <v>3042273</v>
      </c>
      <c r="H7" s="462">
        <f>+'[5]App B.1 Budget'!$L$37</f>
        <v>1470808</v>
      </c>
      <c r="I7" s="462">
        <f>+'[5]App B.1 Budget'!$L$36</f>
        <v>3765540</v>
      </c>
      <c r="J7" s="462">
        <f>+'[5]App B.1 Budget'!$L$35</f>
        <v>266610</v>
      </c>
      <c r="K7" s="462">
        <v>0</v>
      </c>
      <c r="L7" s="462">
        <f>+'[5]App B.1 Budget'!$L$44+'[5]App B.1 Budget'!$L$45</f>
        <v>2817588</v>
      </c>
      <c r="M7" s="462">
        <f>+'[5]App B.1 Budget'!$L$49</f>
        <v>8178838</v>
      </c>
      <c r="N7" s="462">
        <f>+'[5]App B.1 Budget'!$L$53</f>
        <v>7255450</v>
      </c>
      <c r="O7" s="462">
        <f>+'[5]App B.1 Budget'!$L$90</f>
        <v>1395388</v>
      </c>
      <c r="P7" s="462">
        <f>+'[5]App B.1 Budget'!$L$87</f>
        <v>1480007</v>
      </c>
      <c r="Q7" s="462">
        <f>+'[5]App B.1 Budget'!$L$88+'[5]App B.1 Budget'!$L$89</f>
        <v>400842</v>
      </c>
      <c r="R7" s="462">
        <v>0</v>
      </c>
      <c r="S7" s="465">
        <f t="shared" ref="S7:S8" si="1">SUM(C7:R7)</f>
        <v>47734014</v>
      </c>
    </row>
    <row r="8" spans="2:19" ht="10.5" x14ac:dyDescent="0.25">
      <c r="B8" s="466" t="s">
        <v>383</v>
      </c>
      <c r="C8" s="462">
        <f>+'[5]App B.1 Budget'!$P$9</f>
        <v>9179750</v>
      </c>
      <c r="D8" s="462">
        <f>+'[5]App B.1 Budget'!$P$12</f>
        <v>2680002</v>
      </c>
      <c r="E8" s="462">
        <f>+'[5]App B.1 Budget'!$P$13</f>
        <v>2644222.2200000002</v>
      </c>
      <c r="F8" s="462">
        <f>+'[5]App B.1 Budget'!$P$21</f>
        <v>20425676</v>
      </c>
      <c r="G8" s="462">
        <f>+'[5]App B.1 Budget'!$P$22</f>
        <v>5194837</v>
      </c>
      <c r="H8" s="462">
        <f>+'[5]App B.1 Budget'!$P$37</f>
        <v>26135312</v>
      </c>
      <c r="I8" s="462">
        <f>+'[5]App B.1 Budget'!$P$36</f>
        <v>2274541</v>
      </c>
      <c r="J8" s="462">
        <f>+'[5]App B.1 Budget'!$P$35</f>
        <v>0</v>
      </c>
      <c r="K8" s="462">
        <v>0</v>
      </c>
      <c r="L8" s="462">
        <f>+'[5]App B.1 Budget'!$P$44+'[5]App B.1 Budget'!$P$45</f>
        <v>0</v>
      </c>
      <c r="M8" s="462">
        <f>+'[5]App B.1 Budget'!$P$49</f>
        <v>446250</v>
      </c>
      <c r="N8" s="462">
        <f>+'[5]App B.1 Budget'!$P$53</f>
        <v>89231</v>
      </c>
      <c r="O8" s="462">
        <f>+'[5]App B.1 Budget'!$P$90</f>
        <v>2564708</v>
      </c>
      <c r="P8" s="462">
        <f>+'[5]App B.1 Budget'!$P$87</f>
        <v>1424834</v>
      </c>
      <c r="Q8" s="462">
        <f>+'[5]App B.1 Budget'!$P$88+'[5]App B.1 Budget'!$P$89</f>
        <v>825900</v>
      </c>
      <c r="R8" s="462">
        <v>0</v>
      </c>
      <c r="S8" s="465">
        <f t="shared" si="1"/>
        <v>73885263.219999999</v>
      </c>
    </row>
    <row r="9" spans="2:19" ht="10.95" thickBot="1" x14ac:dyDescent="0.3">
      <c r="B9" s="467" t="s">
        <v>384</v>
      </c>
      <c r="C9" s="468"/>
      <c r="D9" s="468"/>
      <c r="E9" s="468"/>
      <c r="F9" s="468"/>
      <c r="G9" s="468"/>
      <c r="H9" s="468"/>
      <c r="I9" s="468"/>
      <c r="J9" s="468"/>
      <c r="K9" s="468"/>
      <c r="L9" s="468"/>
      <c r="M9" s="468"/>
      <c r="N9" s="468"/>
      <c r="O9" s="468"/>
      <c r="P9" s="468"/>
      <c r="Q9" s="468"/>
      <c r="R9" s="468"/>
      <c r="S9" s="469">
        <f>SUM(C9:R9)</f>
        <v>0</v>
      </c>
    </row>
    <row r="11" spans="2:19" ht="10.95" thickBot="1" x14ac:dyDescent="0.3"/>
    <row r="12" spans="2:19" ht="42.45" thickBot="1" x14ac:dyDescent="0.3">
      <c r="B12" s="454" t="s">
        <v>385</v>
      </c>
      <c r="C12" s="455" t="s">
        <v>364</v>
      </c>
      <c r="D12" s="455" t="s">
        <v>365</v>
      </c>
      <c r="E12" s="455" t="s">
        <v>366</v>
      </c>
      <c r="F12" s="455" t="s">
        <v>367</v>
      </c>
      <c r="G12" s="455" t="s">
        <v>368</v>
      </c>
      <c r="H12" s="455" t="s">
        <v>369</v>
      </c>
      <c r="I12" s="455" t="s">
        <v>370</v>
      </c>
      <c r="J12" s="456" t="s">
        <v>371</v>
      </c>
      <c r="K12" s="455" t="s">
        <v>372</v>
      </c>
      <c r="L12" s="455" t="s">
        <v>373</v>
      </c>
      <c r="M12" s="456" t="s">
        <v>230</v>
      </c>
      <c r="N12" s="456" t="s">
        <v>232</v>
      </c>
      <c r="O12" s="455" t="s">
        <v>374</v>
      </c>
      <c r="P12" s="455" t="s">
        <v>375</v>
      </c>
      <c r="Q12" s="455" t="s">
        <v>376</v>
      </c>
      <c r="R12" s="456" t="s">
        <v>377</v>
      </c>
      <c r="S12" s="457" t="s">
        <v>378</v>
      </c>
    </row>
    <row r="13" spans="2:19" ht="10.95" thickBot="1" x14ac:dyDescent="0.3">
      <c r="B13" s="458" t="s">
        <v>379</v>
      </c>
      <c r="C13" s="459">
        <f>SUM(C14:C18)</f>
        <v>13955244</v>
      </c>
      <c r="D13" s="459">
        <f t="shared" ref="D13:R13" si="2">SUM(D14:D18)</f>
        <v>5134191</v>
      </c>
      <c r="E13" s="459">
        <f t="shared" si="2"/>
        <v>4251229.2200000007</v>
      </c>
      <c r="F13" s="459">
        <f t="shared" si="2"/>
        <v>34087935</v>
      </c>
      <c r="G13" s="459">
        <f t="shared" si="2"/>
        <v>8739228</v>
      </c>
      <c r="H13" s="459">
        <f t="shared" si="2"/>
        <v>28125015</v>
      </c>
      <c r="I13" s="459">
        <f t="shared" si="2"/>
        <v>6812979</v>
      </c>
      <c r="J13" s="459">
        <f t="shared" si="2"/>
        <v>316245</v>
      </c>
      <c r="K13" s="459">
        <f t="shared" si="2"/>
        <v>0</v>
      </c>
      <c r="L13" s="459">
        <f t="shared" si="2"/>
        <v>3478488</v>
      </c>
      <c r="M13" s="459">
        <f t="shared" si="2"/>
        <v>10768180</v>
      </c>
      <c r="N13" s="459">
        <f t="shared" si="2"/>
        <v>9164656</v>
      </c>
      <c r="O13" s="459">
        <f t="shared" si="2"/>
        <v>4383388</v>
      </c>
      <c r="P13" s="459">
        <f t="shared" si="2"/>
        <v>3075165</v>
      </c>
      <c r="Q13" s="459">
        <f t="shared" si="2"/>
        <v>1388954</v>
      </c>
      <c r="R13" s="459">
        <f t="shared" si="2"/>
        <v>6100000</v>
      </c>
      <c r="S13" s="460">
        <f>SUM(C13:R13)</f>
        <v>139780897.22</v>
      </c>
    </row>
    <row r="14" spans="2:19" ht="10.5" x14ac:dyDescent="0.25">
      <c r="B14" s="461" t="s">
        <v>380</v>
      </c>
      <c r="C14" s="462">
        <f>+'[5]App B.1 Budget'!$F$9</f>
        <v>530637</v>
      </c>
      <c r="D14" s="462">
        <f>+'[5]App B.1 Budget'!$F$12</f>
        <v>191869</v>
      </c>
      <c r="E14" s="462">
        <f>+'[5]App B.1 Budget'!$F$13</f>
        <v>440538</v>
      </c>
      <c r="F14" s="462">
        <f>+'[5]App B.1 Budget'!$F$21</f>
        <v>906082</v>
      </c>
      <c r="G14" s="462">
        <f>+'[5]App B.1 Budget'!$F$22</f>
        <v>401068</v>
      </c>
      <c r="H14" s="462">
        <f>+'[5]App B.1 Budget'!$F$37</f>
        <v>322978</v>
      </c>
      <c r="I14" s="462">
        <f>+'[5]App B.1 Budget'!$F$36</f>
        <v>608440</v>
      </c>
      <c r="J14" s="462">
        <f>+'[5]App B.1 Budget'!$F$35</f>
        <v>49635</v>
      </c>
      <c r="K14" s="462">
        <v>0</v>
      </c>
      <c r="L14" s="462">
        <f>+'[5]App B.1 Budget'!$F$44+'[5]App B.1 Budget'!$F$45</f>
        <v>660900</v>
      </c>
      <c r="M14" s="462">
        <f>+'[5]App B.1 Budget'!$F$49</f>
        <v>2041021</v>
      </c>
      <c r="N14" s="462">
        <f>+'[5]App B.1 Budget'!$F$53</f>
        <v>1516167</v>
      </c>
      <c r="O14" s="462">
        <f>+'[5]App B.1 Budget'!$F$90</f>
        <v>336532</v>
      </c>
      <c r="P14" s="462">
        <f>+'[5]App B.1 Budget'!$F$87</f>
        <v>135620</v>
      </c>
      <c r="Q14" s="462">
        <f>+'[5]App B.1 Budget'!$F$88+'[5]App B.1 Budget'!$F$89</f>
        <v>160936</v>
      </c>
      <c r="R14" s="462">
        <v>0</v>
      </c>
      <c r="S14" s="463">
        <f>SUM(C14:R14)</f>
        <v>8302423</v>
      </c>
    </row>
    <row r="15" spans="2:19" ht="10.5" x14ac:dyDescent="0.25">
      <c r="B15" s="464" t="s">
        <v>381</v>
      </c>
      <c r="C15" s="462">
        <f>+'[5]App B.1 Budget'!$J$9</f>
        <v>2037129</v>
      </c>
      <c r="D15" s="462">
        <f>+'[5]App B.1 Budget'!$J$12</f>
        <v>217790</v>
      </c>
      <c r="E15" s="462">
        <f>+'[5]App B.1 Budget'!$J$13</f>
        <v>408283</v>
      </c>
      <c r="F15" s="462">
        <f>+'[5]App B.1 Budget'!$J$21</f>
        <v>105951</v>
      </c>
      <c r="G15" s="462">
        <f>+'[5]App B.1 Budget'!$J$22</f>
        <v>101050</v>
      </c>
      <c r="H15" s="462">
        <f>+'[5]App B.1 Budget'!$J$37</f>
        <v>195917</v>
      </c>
      <c r="I15" s="462">
        <f>+'[5]App B.1 Budget'!$J$36</f>
        <v>164458</v>
      </c>
      <c r="J15" s="462">
        <f>+'[5]App B.1 Budget'!$J$35</f>
        <v>0</v>
      </c>
      <c r="K15" s="462">
        <v>0</v>
      </c>
      <c r="L15" s="462">
        <f>+'[5]App B.1 Budget'!$J$44+'[5]App B.1 Budget'!$J$45</f>
        <v>0</v>
      </c>
      <c r="M15" s="462">
        <f>+'[5]App B.1 Budget'!$J$49</f>
        <v>102071</v>
      </c>
      <c r="N15" s="462">
        <f>+'[5]App B.1 Budget'!$J$53</f>
        <v>303808</v>
      </c>
      <c r="O15" s="462">
        <f>+'[5]App B.1 Budget'!$J$90</f>
        <v>86760</v>
      </c>
      <c r="P15" s="462">
        <f>+'[5]App B.1 Budget'!$J$87</f>
        <v>34704</v>
      </c>
      <c r="Q15" s="462">
        <f>+'[5]App B.1 Budget'!$J$88+'[5]App B.1 Budget'!$J$89</f>
        <v>1276</v>
      </c>
      <c r="R15" s="462">
        <f>+'[5]App B.1 Budget'!J131</f>
        <v>6100000</v>
      </c>
      <c r="S15" s="465">
        <f>SUM(C15:R15)</f>
        <v>9859197</v>
      </c>
    </row>
    <row r="16" spans="2:19" ht="10.5" x14ac:dyDescent="0.25">
      <c r="B16" s="466" t="s">
        <v>382</v>
      </c>
      <c r="C16" s="462">
        <f>+'[5]App B.1 Budget'!$N$9</f>
        <v>2207728</v>
      </c>
      <c r="D16" s="462">
        <f>+'[5]App B.1 Budget'!$N$12</f>
        <v>2044530</v>
      </c>
      <c r="E16" s="462">
        <f>+'[5]App B.1 Budget'!$N$13</f>
        <v>758186</v>
      </c>
      <c r="F16" s="462">
        <f>+'[5]App B.1 Budget'!$N$21</f>
        <v>12650226</v>
      </c>
      <c r="G16" s="462">
        <f>+'[5]App B.1 Budget'!$N$22</f>
        <v>3042273</v>
      </c>
      <c r="H16" s="462">
        <f>+'[5]App B.1 Budget'!$N$37</f>
        <v>1470808</v>
      </c>
      <c r="I16" s="462">
        <f>+'[5]App B.1 Budget'!$N$36</f>
        <v>3765540</v>
      </c>
      <c r="J16" s="462">
        <f>+'[5]App B.1 Budget'!$N$35</f>
        <v>266610</v>
      </c>
      <c r="K16" s="462">
        <v>0</v>
      </c>
      <c r="L16" s="462">
        <f>+'[5]App B.1 Budget'!$N$44+'[5]App B.1 Budget'!$N$45</f>
        <v>2817588</v>
      </c>
      <c r="M16" s="462">
        <f>+'[5]App B.1 Budget'!$N$49</f>
        <v>8178838</v>
      </c>
      <c r="N16" s="462">
        <f>+'[5]App B.1 Budget'!$N$53</f>
        <v>7255450</v>
      </c>
      <c r="O16" s="462">
        <f>+'[5]App B.1 Budget'!$N$90</f>
        <v>1395388</v>
      </c>
      <c r="P16" s="462">
        <f>+'[5]App B.1 Budget'!$N$87</f>
        <v>1480007</v>
      </c>
      <c r="Q16" s="462">
        <f>+'[5]App B.1 Budget'!$N$88+'[5]App B.1 Budget'!$N$89</f>
        <v>400842</v>
      </c>
      <c r="R16" s="462">
        <v>0</v>
      </c>
      <c r="S16" s="465">
        <f t="shared" ref="S16:S17" si="3">SUM(C16:R16)</f>
        <v>47734014</v>
      </c>
    </row>
    <row r="17" spans="2:19" ht="10.5" x14ac:dyDescent="0.25">
      <c r="B17" s="466" t="s">
        <v>383</v>
      </c>
      <c r="C17" s="462">
        <f>+'[5]App B.1 Budget'!$R$9</f>
        <v>9179750</v>
      </c>
      <c r="D17" s="462">
        <f>+'[5]App B.1 Budget'!$R$12</f>
        <v>2680002</v>
      </c>
      <c r="E17" s="462">
        <f>+'[5]App B.1 Budget'!$R$13</f>
        <v>2644222.2200000002</v>
      </c>
      <c r="F17" s="462">
        <f>+'[5]App B.1 Budget'!$R$21</f>
        <v>20425676</v>
      </c>
      <c r="G17" s="462">
        <f>+'[5]App B.1 Budget'!$R$22</f>
        <v>5194837</v>
      </c>
      <c r="H17" s="462">
        <f>+'[5]App B.1 Budget'!$R$37</f>
        <v>26135312</v>
      </c>
      <c r="I17" s="462">
        <f>+'[5]App B.1 Budget'!$R$36</f>
        <v>2274541</v>
      </c>
      <c r="J17" s="462">
        <f>+'[5]App B.1 Budget'!$R$35</f>
        <v>0</v>
      </c>
      <c r="K17" s="462">
        <v>0</v>
      </c>
      <c r="L17" s="462">
        <f>+'[5]App B.1 Budget'!$R$44+'[5]App B.1 Budget'!$R$45</f>
        <v>0</v>
      </c>
      <c r="M17" s="462">
        <f>+'[5]App B.1 Budget'!$R$49</f>
        <v>446250</v>
      </c>
      <c r="N17" s="462">
        <f>+'[5]App B.1 Budget'!$R$53</f>
        <v>89231</v>
      </c>
      <c r="O17" s="462">
        <f>+'[5]App B.1 Budget'!$R$90</f>
        <v>2564708</v>
      </c>
      <c r="P17" s="462">
        <f>+'[5]App B.1 Budget'!$R$87</f>
        <v>1424834</v>
      </c>
      <c r="Q17" s="462">
        <f>+'[5]App B.1 Budget'!$R$88+'[5]App B.1 Budget'!$R$89</f>
        <v>825900</v>
      </c>
      <c r="R17" s="462">
        <v>0</v>
      </c>
      <c r="S17" s="465">
        <f t="shared" si="3"/>
        <v>73885263.219999999</v>
      </c>
    </row>
    <row r="18" spans="2:19" ht="10.95" thickBot="1" x14ac:dyDescent="0.3">
      <c r="B18" s="467" t="s">
        <v>384</v>
      </c>
      <c r="C18" s="468"/>
      <c r="D18" s="468"/>
      <c r="E18" s="468"/>
      <c r="F18" s="468"/>
      <c r="G18" s="468"/>
      <c r="H18" s="468"/>
      <c r="I18" s="468"/>
      <c r="J18" s="468"/>
      <c r="K18" s="468"/>
      <c r="L18" s="468"/>
      <c r="M18" s="468"/>
      <c r="N18" s="468"/>
      <c r="O18" s="468"/>
      <c r="P18" s="468"/>
      <c r="Q18" s="468"/>
      <c r="R18" s="468"/>
      <c r="S18" s="469">
        <f>SUM(C18:R18)</f>
        <v>0</v>
      </c>
    </row>
    <row r="20" spans="2:19" ht="10.95" thickBot="1" x14ac:dyDescent="0.3"/>
    <row r="21" spans="2:19" ht="42.45" thickBot="1" x14ac:dyDescent="0.3">
      <c r="B21" s="454" t="s">
        <v>386</v>
      </c>
      <c r="C21" s="455" t="s">
        <v>364</v>
      </c>
      <c r="D21" s="455" t="s">
        <v>365</v>
      </c>
      <c r="E21" s="455" t="s">
        <v>366</v>
      </c>
      <c r="F21" s="455" t="s">
        <v>367</v>
      </c>
      <c r="G21" s="455" t="s">
        <v>368</v>
      </c>
      <c r="H21" s="455" t="s">
        <v>369</v>
      </c>
      <c r="I21" s="455" t="s">
        <v>370</v>
      </c>
      <c r="J21" s="456" t="s">
        <v>371</v>
      </c>
      <c r="K21" s="455" t="s">
        <v>372</v>
      </c>
      <c r="L21" s="455" t="s">
        <v>373</v>
      </c>
      <c r="M21" s="456" t="s">
        <v>230</v>
      </c>
      <c r="N21" s="456" t="s">
        <v>232</v>
      </c>
      <c r="O21" s="455" t="s">
        <v>374</v>
      </c>
      <c r="P21" s="455" t="s">
        <v>375</v>
      </c>
      <c r="Q21" s="455" t="s">
        <v>376</v>
      </c>
      <c r="R21" s="456" t="s">
        <v>377</v>
      </c>
      <c r="S21" s="457" t="s">
        <v>378</v>
      </c>
    </row>
    <row r="22" spans="2:19" ht="10.95" thickBot="1" x14ac:dyDescent="0.3">
      <c r="B22" s="458" t="s">
        <v>379</v>
      </c>
      <c r="C22" s="459">
        <f>SUM(C23:C27)</f>
        <v>6944544</v>
      </c>
      <c r="D22" s="459">
        <f t="shared" ref="D22:R22" si="4">SUM(D23:D27)</f>
        <v>0</v>
      </c>
      <c r="E22" s="459">
        <f t="shared" si="4"/>
        <v>350000</v>
      </c>
      <c r="F22" s="459">
        <f t="shared" si="4"/>
        <v>27287863</v>
      </c>
      <c r="G22" s="459">
        <f t="shared" si="4"/>
        <v>8452015</v>
      </c>
      <c r="H22" s="459">
        <f t="shared" si="4"/>
        <v>51231238</v>
      </c>
      <c r="I22" s="459">
        <f t="shared" si="4"/>
        <v>0</v>
      </c>
      <c r="J22" s="459">
        <f t="shared" si="4"/>
        <v>93024</v>
      </c>
      <c r="K22" s="459">
        <f t="shared" si="4"/>
        <v>0</v>
      </c>
      <c r="L22" s="459">
        <f t="shared" si="4"/>
        <v>3294312.4880576609</v>
      </c>
      <c r="M22" s="459">
        <f t="shared" si="4"/>
        <v>7476487</v>
      </c>
      <c r="N22" s="459">
        <f t="shared" si="4"/>
        <v>4845105</v>
      </c>
      <c r="O22" s="459">
        <f t="shared" si="4"/>
        <v>2464442</v>
      </c>
      <c r="P22" s="459">
        <f t="shared" si="4"/>
        <v>2462104</v>
      </c>
      <c r="Q22" s="459">
        <f t="shared" si="4"/>
        <v>1720367</v>
      </c>
      <c r="R22" s="459">
        <f t="shared" si="4"/>
        <v>6100000</v>
      </c>
      <c r="S22" s="460">
        <f>SUM(C22:R22)</f>
        <v>122721501.48805766</v>
      </c>
    </row>
    <row r="23" spans="2:19" ht="10.5" x14ac:dyDescent="0.25">
      <c r="B23" s="461" t="s">
        <v>380</v>
      </c>
      <c r="C23" s="462">
        <f>+'[5]App B.1 Budget'!$G$9</f>
        <v>380232</v>
      </c>
      <c r="D23" s="462">
        <f>+'[5]App B.1 Budget'!$G$12</f>
        <v>0</v>
      </c>
      <c r="E23" s="462">
        <f>+'[5]App B.1 Budget'!$G$13</f>
        <v>350000</v>
      </c>
      <c r="F23" s="462">
        <f>+'[5]App B.1 Budget'!$G$21</f>
        <v>1386284</v>
      </c>
      <c r="G23" s="462">
        <f>+'[5]App B.1 Budget'!$G$22</f>
        <v>431142</v>
      </c>
      <c r="H23" s="462">
        <f>+'[5]App B.1 Budget'!$G$37</f>
        <v>2261715</v>
      </c>
      <c r="I23" s="462">
        <f>+'[5]App B.1 Budget'!$G$36</f>
        <v>0</v>
      </c>
      <c r="J23" s="462">
        <f>+'[5]App B.1 Budget'!$G$35</f>
        <v>93024</v>
      </c>
      <c r="K23" s="462">
        <v>0</v>
      </c>
      <c r="L23" s="462">
        <f>+'[5]App B.1 Budget'!$G$44+'[5]App B.1 Budget'!$G$45</f>
        <v>296237.34921940061</v>
      </c>
      <c r="M23" s="462">
        <f>+'[5]App B.1 Budget'!$G$49</f>
        <v>487569</v>
      </c>
      <c r="N23" s="462">
        <f>+'[5]App B.1 Budget'!$G$53</f>
        <v>291187</v>
      </c>
      <c r="O23" s="462">
        <f>+'[5]App B.1 Budget'!$G$90</f>
        <v>154611</v>
      </c>
      <c r="P23" s="462">
        <f>+'[5]App B.1 Budget'!$G$87</f>
        <v>181997</v>
      </c>
      <c r="Q23" s="462">
        <f>+'[5]App B.1 Budget'!$G$88+'[5]App B.1 Budget'!$G$89</f>
        <v>182794</v>
      </c>
      <c r="R23" s="462">
        <v>0</v>
      </c>
      <c r="S23" s="463">
        <f>SUM(C23:R23)</f>
        <v>6496792.3492194004</v>
      </c>
    </row>
    <row r="24" spans="2:19" ht="10.5" x14ac:dyDescent="0.25">
      <c r="B24" s="464" t="s">
        <v>381</v>
      </c>
      <c r="C24" s="462">
        <f>+'[5]App B.1 Budget'!$K$9</f>
        <v>782370</v>
      </c>
      <c r="D24" s="462">
        <f>+'[5]App B.1 Budget'!$K$12</f>
        <v>0</v>
      </c>
      <c r="E24" s="462">
        <f>+'[5]App B.1 Budget'!$K$13</f>
        <v>0</v>
      </c>
      <c r="F24" s="462">
        <f>+'[5]App B.1 Budget'!$K$21</f>
        <v>97405</v>
      </c>
      <c r="G24" s="462">
        <f>+'[5]App B.1 Budget'!$K$22</f>
        <v>20027</v>
      </c>
      <c r="H24" s="462">
        <f>+'[5]App B.1 Budget'!$K$37</f>
        <v>0</v>
      </c>
      <c r="I24" s="462">
        <f>+'[5]App B.1 Budget'!$K$36</f>
        <v>0</v>
      </c>
      <c r="J24" s="462">
        <f>+'[5]App B.1 Budget'!$K$35</f>
        <v>0</v>
      </c>
      <c r="K24" s="462">
        <v>0</v>
      </c>
      <c r="L24" s="462">
        <f>+'[5]App B.1 Budget'!$K$44+'[5]App B.1 Budget'!$K$45</f>
        <v>0</v>
      </c>
      <c r="M24" s="462">
        <f>+'[5]App B.1 Budget'!$K$49</f>
        <v>103009</v>
      </c>
      <c r="N24" s="462">
        <f>+'[5]App B.1 Budget'!$K$53</f>
        <v>0</v>
      </c>
      <c r="O24" s="462">
        <f>+'[5]App B.1 Budget'!$K$90</f>
        <v>61473</v>
      </c>
      <c r="P24" s="462">
        <f>+'[5]App B.1 Budget'!$K$87</f>
        <v>0</v>
      </c>
      <c r="Q24" s="462">
        <f>+'[5]App B.1 Budget'!$K$88+'[5]App B.1 Budget'!$K$89</f>
        <v>0</v>
      </c>
      <c r="R24" s="462">
        <f>+'[5]App B.1 Budget'!K131</f>
        <v>6100000</v>
      </c>
      <c r="S24" s="465">
        <f>SUM(C24:R24)</f>
        <v>7164284</v>
      </c>
    </row>
    <row r="25" spans="2:19" ht="10.5" x14ac:dyDescent="0.25">
      <c r="B25" s="466" t="s">
        <v>382</v>
      </c>
      <c r="C25" s="462">
        <f>+'[5]App B.1 Budget'!$O$9</f>
        <v>1200892</v>
      </c>
      <c r="D25" s="462">
        <f>+'[5]App B.1 Budget'!$O$12</f>
        <v>0</v>
      </c>
      <c r="E25" s="462">
        <f>+'[5]App B.1 Budget'!$O$13</f>
        <v>0</v>
      </c>
      <c r="F25" s="462">
        <f>+'[5]App B.1 Budget'!$O$21</f>
        <v>10061777</v>
      </c>
      <c r="G25" s="462">
        <f>+'[5]App B.1 Budget'!$O$22</f>
        <v>2871722</v>
      </c>
      <c r="H25" s="462">
        <f>+'[5]App B.1 Budget'!$O$37</f>
        <v>1930782</v>
      </c>
      <c r="I25" s="462">
        <f>+'[5]App B.1 Budget'!$O$36</f>
        <v>0</v>
      </c>
      <c r="J25" s="462">
        <f>+'[5]App B.1 Budget'!$O$35</f>
        <v>0</v>
      </c>
      <c r="K25" s="462">
        <v>0</v>
      </c>
      <c r="L25" s="462">
        <f>+'[5]App B.1 Budget'!$O$44+'[5]App B.1 Budget'!$O$45</f>
        <v>2998075.1388382604</v>
      </c>
      <c r="M25" s="462">
        <f>+'[5]App B.1 Budget'!$O$49</f>
        <v>6885909</v>
      </c>
      <c r="N25" s="462">
        <f>+'[5]App B.1 Budget'!$O$53</f>
        <v>4553918</v>
      </c>
      <c r="O25" s="462">
        <f>+'[5]App B.1 Budget'!$O$90</f>
        <v>1113465</v>
      </c>
      <c r="P25" s="462">
        <f>+'[5]App B.1 Budget'!$O$87</f>
        <v>1125197</v>
      </c>
      <c r="Q25" s="462">
        <f>+'[5]App B.1 Budget'!$O$88+'[5]App B.1 Budget'!$O$89</f>
        <v>718897</v>
      </c>
      <c r="R25" s="462">
        <v>0</v>
      </c>
      <c r="S25" s="465">
        <f t="shared" ref="S25:S26" si="5">SUM(C25:R25)</f>
        <v>33460634.138838261</v>
      </c>
    </row>
    <row r="26" spans="2:19" ht="10.5" x14ac:dyDescent="0.25">
      <c r="B26" s="466" t="s">
        <v>383</v>
      </c>
      <c r="C26" s="462">
        <f>+'[5]App B.1 Budget'!$S$9</f>
        <v>4581050</v>
      </c>
      <c r="D26" s="462">
        <f>+'[5]App B.1 Budget'!$S$12</f>
        <v>0</v>
      </c>
      <c r="E26" s="462">
        <f>+'[5]App B.1 Budget'!$S$13</f>
        <v>0</v>
      </c>
      <c r="F26" s="462">
        <f>+'[5]App B.1 Budget'!$S$21</f>
        <v>15742397</v>
      </c>
      <c r="G26" s="462">
        <f>+'[5]App B.1 Budget'!$S$22</f>
        <v>5129124</v>
      </c>
      <c r="H26" s="462">
        <f>+'[5]App B.1 Budget'!$S$37</f>
        <v>47038741</v>
      </c>
      <c r="I26" s="462">
        <f>+'[5]App B.1 Budget'!$S$36</f>
        <v>0</v>
      </c>
      <c r="J26" s="462">
        <f>+'[5]App B.1 Budget'!$S$35</f>
        <v>0</v>
      </c>
      <c r="K26" s="462">
        <v>0</v>
      </c>
      <c r="L26" s="462">
        <f>+'[5]App B.1 Budget'!$S$44+'[5]App B.1 Budget'!$S$45</f>
        <v>0</v>
      </c>
      <c r="M26" s="462">
        <f>+'[5]App B.1 Budget'!$S$49</f>
        <v>0</v>
      </c>
      <c r="N26" s="462">
        <f>+'[5]App B.1 Budget'!$S$53</f>
        <v>0</v>
      </c>
      <c r="O26" s="462">
        <f>+'[5]App B.1 Budget'!$S$90</f>
        <v>1134893</v>
      </c>
      <c r="P26" s="462">
        <f>+'[5]App B.1 Budget'!$S$87</f>
        <v>1154910</v>
      </c>
      <c r="Q26" s="462">
        <f>+'[5]App B.1 Budget'!$S$88+'[5]App B.1 Budget'!$S$89</f>
        <v>818676</v>
      </c>
      <c r="R26" s="462">
        <v>0</v>
      </c>
      <c r="S26" s="465">
        <f t="shared" si="5"/>
        <v>75599791</v>
      </c>
    </row>
    <row r="27" spans="2:19" ht="10.95" thickBot="1" x14ac:dyDescent="0.3">
      <c r="B27" s="467" t="s">
        <v>384</v>
      </c>
      <c r="C27" s="468"/>
      <c r="D27" s="468"/>
      <c r="E27" s="468"/>
      <c r="F27" s="468"/>
      <c r="G27" s="468"/>
      <c r="H27" s="468"/>
      <c r="I27" s="468"/>
      <c r="J27" s="468"/>
      <c r="K27" s="468"/>
      <c r="L27" s="468"/>
      <c r="M27" s="468"/>
      <c r="N27" s="468"/>
      <c r="O27" s="468"/>
      <c r="P27" s="468"/>
      <c r="Q27" s="468"/>
      <c r="R27" s="468"/>
      <c r="S27" s="469">
        <f>SUM(C27:R27)</f>
        <v>0</v>
      </c>
    </row>
    <row r="29" spans="2:19" ht="10.95" thickBot="1" x14ac:dyDescent="0.3"/>
    <row r="30" spans="2:19" ht="42.45" thickBot="1" x14ac:dyDescent="0.3">
      <c r="B30" s="454" t="s">
        <v>387</v>
      </c>
      <c r="C30" s="455" t="s">
        <v>364</v>
      </c>
      <c r="D30" s="455" t="s">
        <v>365</v>
      </c>
      <c r="E30" s="455" t="s">
        <v>366</v>
      </c>
      <c r="F30" s="455" t="s">
        <v>367</v>
      </c>
      <c r="G30" s="455" t="s">
        <v>368</v>
      </c>
      <c r="H30" s="455" t="s">
        <v>369</v>
      </c>
      <c r="I30" s="455" t="s">
        <v>370</v>
      </c>
      <c r="J30" s="456" t="s">
        <v>371</v>
      </c>
      <c r="K30" s="455" t="s">
        <v>372</v>
      </c>
      <c r="L30" s="455" t="s">
        <v>373</v>
      </c>
      <c r="M30" s="456" t="s">
        <v>230</v>
      </c>
      <c r="N30" s="456" t="s">
        <v>232</v>
      </c>
      <c r="O30" s="455" t="s">
        <v>374</v>
      </c>
      <c r="P30" s="455" t="s">
        <v>375</v>
      </c>
      <c r="Q30" s="455" t="s">
        <v>376</v>
      </c>
      <c r="R30" s="456" t="s">
        <v>377</v>
      </c>
      <c r="S30" s="457" t="s">
        <v>378</v>
      </c>
    </row>
    <row r="31" spans="2:19" ht="10.95" thickBot="1" x14ac:dyDescent="0.3">
      <c r="B31" s="458" t="s">
        <v>379</v>
      </c>
      <c r="C31" s="459">
        <f>SUM(C32:C36)</f>
        <v>34855032</v>
      </c>
      <c r="D31" s="459">
        <f t="shared" ref="D31:R31" si="6">SUM(D32:D36)</f>
        <v>10268382</v>
      </c>
      <c r="E31" s="459">
        <f t="shared" si="6"/>
        <v>8852458.4400000013</v>
      </c>
      <c r="F31" s="459">
        <f t="shared" si="6"/>
        <v>95463733</v>
      </c>
      <c r="G31" s="459">
        <f t="shared" si="6"/>
        <v>25930471</v>
      </c>
      <c r="H31" s="459">
        <f t="shared" si="6"/>
        <v>107481268</v>
      </c>
      <c r="I31" s="459">
        <f t="shared" si="6"/>
        <v>13625958</v>
      </c>
      <c r="J31" s="459">
        <f t="shared" si="6"/>
        <v>725514</v>
      </c>
      <c r="K31" s="459">
        <f t="shared" si="6"/>
        <v>0</v>
      </c>
      <c r="L31" s="459">
        <f t="shared" si="6"/>
        <v>10251288.488057662</v>
      </c>
      <c r="M31" s="459">
        <f t="shared" si="6"/>
        <v>29012847</v>
      </c>
      <c r="N31" s="459">
        <f t="shared" si="6"/>
        <v>23174417</v>
      </c>
      <c r="O31" s="459">
        <f t="shared" si="6"/>
        <v>11231218</v>
      </c>
      <c r="P31" s="459">
        <f t="shared" si="6"/>
        <v>8612434</v>
      </c>
      <c r="Q31" s="459">
        <f t="shared" si="6"/>
        <v>4498275</v>
      </c>
      <c r="R31" s="459">
        <f t="shared" si="6"/>
        <v>18300000</v>
      </c>
      <c r="S31" s="460">
        <f>SUM(C31:R31)</f>
        <v>402283295.92805767</v>
      </c>
    </row>
    <row r="32" spans="2:19" ht="10.5" x14ac:dyDescent="0.25">
      <c r="B32" s="461" t="s">
        <v>380</v>
      </c>
      <c r="C32" s="462">
        <f>+C5+C14+C23</f>
        <v>1441506</v>
      </c>
      <c r="D32" s="462">
        <f t="shared" ref="D32:R33" si="7">+D5+D14+D23</f>
        <v>383738</v>
      </c>
      <c r="E32" s="462">
        <f t="shared" si="7"/>
        <v>1231076</v>
      </c>
      <c r="F32" s="462">
        <f t="shared" si="7"/>
        <v>3198448</v>
      </c>
      <c r="G32" s="462">
        <f t="shared" si="7"/>
        <v>1233278</v>
      </c>
      <c r="H32" s="462">
        <f t="shared" si="7"/>
        <v>2907671</v>
      </c>
      <c r="I32" s="462">
        <f t="shared" si="7"/>
        <v>1216880</v>
      </c>
      <c r="J32" s="462">
        <f t="shared" si="7"/>
        <v>192294</v>
      </c>
      <c r="K32" s="462">
        <f t="shared" si="7"/>
        <v>0</v>
      </c>
      <c r="L32" s="462">
        <f t="shared" si="7"/>
        <v>1618037.3492194007</v>
      </c>
      <c r="M32" s="462">
        <f t="shared" si="7"/>
        <v>4569611</v>
      </c>
      <c r="N32" s="462">
        <f t="shared" si="7"/>
        <v>3323521</v>
      </c>
      <c r="O32" s="462">
        <f t="shared" si="7"/>
        <v>827675</v>
      </c>
      <c r="P32" s="462">
        <f t="shared" si="7"/>
        <v>453237</v>
      </c>
      <c r="Q32" s="462">
        <f t="shared" si="7"/>
        <v>504666</v>
      </c>
      <c r="R32" s="462">
        <f t="shared" si="7"/>
        <v>0</v>
      </c>
      <c r="S32" s="463">
        <f>SUM(C32:R32)</f>
        <v>23101638.3492194</v>
      </c>
    </row>
    <row r="33" spans="2:19" ht="10.5" x14ac:dyDescent="0.25">
      <c r="B33" s="464" t="s">
        <v>381</v>
      </c>
      <c r="C33" s="470">
        <f>+C6+C15+C24</f>
        <v>4856628</v>
      </c>
      <c r="D33" s="470">
        <f t="shared" si="7"/>
        <v>435580</v>
      </c>
      <c r="E33" s="470">
        <f t="shared" si="7"/>
        <v>816566</v>
      </c>
      <c r="F33" s="470">
        <f t="shared" si="7"/>
        <v>309307</v>
      </c>
      <c r="G33" s="470">
        <f t="shared" si="7"/>
        <v>222127</v>
      </c>
      <c r="H33" s="470">
        <f t="shared" si="7"/>
        <v>391834</v>
      </c>
      <c r="I33" s="470">
        <f t="shared" si="7"/>
        <v>328916</v>
      </c>
      <c r="J33" s="470">
        <f t="shared" si="7"/>
        <v>0</v>
      </c>
      <c r="K33" s="470">
        <f t="shared" si="7"/>
        <v>0</v>
      </c>
      <c r="L33" s="470">
        <f t="shared" si="7"/>
        <v>0</v>
      </c>
      <c r="M33" s="470">
        <f t="shared" si="7"/>
        <v>307151</v>
      </c>
      <c r="N33" s="470">
        <f t="shared" si="7"/>
        <v>607616</v>
      </c>
      <c r="O33" s="470">
        <f t="shared" si="7"/>
        <v>234993</v>
      </c>
      <c r="P33" s="470">
        <f t="shared" si="7"/>
        <v>69408</v>
      </c>
      <c r="Q33" s="470">
        <f t="shared" si="7"/>
        <v>2552</v>
      </c>
      <c r="R33" s="470">
        <f t="shared" si="7"/>
        <v>18300000</v>
      </c>
      <c r="S33" s="465">
        <f>SUM(C33:R33)</f>
        <v>26882678</v>
      </c>
    </row>
    <row r="34" spans="2:19" ht="10.5" x14ac:dyDescent="0.25">
      <c r="B34" s="466" t="s">
        <v>382</v>
      </c>
      <c r="C34" s="470">
        <f t="shared" ref="C34:R36" si="8">+C7+C16+C25</f>
        <v>5616348</v>
      </c>
      <c r="D34" s="470">
        <f t="shared" si="8"/>
        <v>4089060</v>
      </c>
      <c r="E34" s="470">
        <f t="shared" si="8"/>
        <v>1516372</v>
      </c>
      <c r="F34" s="470">
        <f t="shared" si="8"/>
        <v>35362229</v>
      </c>
      <c r="G34" s="470">
        <f t="shared" si="8"/>
        <v>8956268</v>
      </c>
      <c r="H34" s="470">
        <f t="shared" si="8"/>
        <v>4872398</v>
      </c>
      <c r="I34" s="470">
        <f t="shared" si="8"/>
        <v>7531080</v>
      </c>
      <c r="J34" s="470">
        <f t="shared" si="8"/>
        <v>533220</v>
      </c>
      <c r="K34" s="470">
        <f t="shared" si="8"/>
        <v>0</v>
      </c>
      <c r="L34" s="470">
        <f t="shared" si="8"/>
        <v>8633251.1388382614</v>
      </c>
      <c r="M34" s="470">
        <f t="shared" si="8"/>
        <v>23243585</v>
      </c>
      <c r="N34" s="470">
        <f t="shared" si="8"/>
        <v>19064818</v>
      </c>
      <c r="O34" s="470">
        <f t="shared" si="8"/>
        <v>3904241</v>
      </c>
      <c r="P34" s="470">
        <f t="shared" si="8"/>
        <v>4085211</v>
      </c>
      <c r="Q34" s="470">
        <f t="shared" si="8"/>
        <v>1520581</v>
      </c>
      <c r="R34" s="470">
        <f t="shared" si="8"/>
        <v>0</v>
      </c>
      <c r="S34" s="465">
        <f t="shared" ref="S34:S35" si="9">SUM(C34:R34)</f>
        <v>128928662.13883826</v>
      </c>
    </row>
    <row r="35" spans="2:19" ht="10.5" x14ac:dyDescent="0.25">
      <c r="B35" s="466" t="s">
        <v>383</v>
      </c>
      <c r="C35" s="470">
        <f t="shared" si="8"/>
        <v>22940550</v>
      </c>
      <c r="D35" s="470">
        <f t="shared" si="8"/>
        <v>5360004</v>
      </c>
      <c r="E35" s="470">
        <f t="shared" si="8"/>
        <v>5288444.4400000004</v>
      </c>
      <c r="F35" s="470">
        <f t="shared" si="8"/>
        <v>56593749</v>
      </c>
      <c r="G35" s="470">
        <f t="shared" si="8"/>
        <v>15518798</v>
      </c>
      <c r="H35" s="470">
        <f t="shared" si="8"/>
        <v>99309365</v>
      </c>
      <c r="I35" s="470">
        <f t="shared" si="8"/>
        <v>4549082</v>
      </c>
      <c r="J35" s="470">
        <f t="shared" si="8"/>
        <v>0</v>
      </c>
      <c r="K35" s="470">
        <f t="shared" si="8"/>
        <v>0</v>
      </c>
      <c r="L35" s="470">
        <f t="shared" si="8"/>
        <v>0</v>
      </c>
      <c r="M35" s="470">
        <f t="shared" si="8"/>
        <v>892500</v>
      </c>
      <c r="N35" s="470">
        <f t="shared" si="8"/>
        <v>178462</v>
      </c>
      <c r="O35" s="470">
        <f t="shared" si="8"/>
        <v>6264309</v>
      </c>
      <c r="P35" s="470">
        <f t="shared" si="8"/>
        <v>4004578</v>
      </c>
      <c r="Q35" s="470">
        <f t="shared" si="8"/>
        <v>2470476</v>
      </c>
      <c r="R35" s="470">
        <f t="shared" si="8"/>
        <v>0</v>
      </c>
      <c r="S35" s="465">
        <f t="shared" si="9"/>
        <v>223370317.44</v>
      </c>
    </row>
    <row r="36" spans="2:19" ht="10.95" thickBot="1" x14ac:dyDescent="0.3">
      <c r="B36" s="467" t="s">
        <v>384</v>
      </c>
      <c r="C36" s="468">
        <f>+C9+C18+C27</f>
        <v>0</v>
      </c>
      <c r="D36" s="468">
        <f t="shared" si="8"/>
        <v>0</v>
      </c>
      <c r="E36" s="468">
        <f t="shared" si="8"/>
        <v>0</v>
      </c>
      <c r="F36" s="468">
        <f t="shared" si="8"/>
        <v>0</v>
      </c>
      <c r="G36" s="468">
        <f t="shared" si="8"/>
        <v>0</v>
      </c>
      <c r="H36" s="468">
        <f t="shared" si="8"/>
        <v>0</v>
      </c>
      <c r="I36" s="468">
        <f t="shared" si="8"/>
        <v>0</v>
      </c>
      <c r="J36" s="468">
        <f t="shared" si="8"/>
        <v>0</v>
      </c>
      <c r="K36" s="468">
        <f t="shared" si="8"/>
        <v>0</v>
      </c>
      <c r="L36" s="468">
        <f t="shared" si="8"/>
        <v>0</v>
      </c>
      <c r="M36" s="468">
        <f t="shared" si="8"/>
        <v>0</v>
      </c>
      <c r="N36" s="468">
        <f t="shared" si="8"/>
        <v>0</v>
      </c>
      <c r="O36" s="468">
        <f t="shared" si="8"/>
        <v>0</v>
      </c>
      <c r="P36" s="468">
        <f t="shared" si="8"/>
        <v>0</v>
      </c>
      <c r="Q36" s="468">
        <f t="shared" si="8"/>
        <v>0</v>
      </c>
      <c r="R36" s="468">
        <f t="shared" si="8"/>
        <v>0</v>
      </c>
      <c r="S36" s="469">
        <f>SUM(C36:R36)</f>
        <v>0</v>
      </c>
    </row>
    <row r="39" spans="2:19" ht="10.5" x14ac:dyDescent="0.25">
      <c r="B39" s="452" t="s">
        <v>388</v>
      </c>
    </row>
    <row r="40" spans="2:19" ht="10.5" x14ac:dyDescent="0.25">
      <c r="B40" s="471" t="s">
        <v>389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30"/>
  <sheetViews>
    <sheetView workbookViewId="0">
      <selection activeCell="C4" sqref="C4"/>
    </sheetView>
  </sheetViews>
  <sheetFormatPr defaultColWidth="9.77734375" defaultRowHeight="10.199999999999999" x14ac:dyDescent="0.2"/>
  <cols>
    <col min="1" max="1" width="9.77734375" style="452"/>
    <col min="2" max="2" width="22.33203125" style="452" customWidth="1"/>
    <col min="3" max="18" width="12" style="452" customWidth="1"/>
    <col min="19" max="19" width="16.33203125" style="452" customWidth="1"/>
    <col min="20" max="16384" width="9.77734375" style="452"/>
  </cols>
  <sheetData>
    <row r="2" spans="2:19" ht="10.95" thickBot="1" x14ac:dyDescent="0.3">
      <c r="L2" s="453"/>
      <c r="M2" s="453"/>
      <c r="N2" s="453"/>
      <c r="Q2" s="453"/>
    </row>
    <row r="3" spans="2:19" ht="42.45" thickBot="1" x14ac:dyDescent="0.3">
      <c r="B3" s="472" t="s">
        <v>363</v>
      </c>
      <c r="C3" s="473" t="s">
        <v>364</v>
      </c>
      <c r="D3" s="473" t="s">
        <v>365</v>
      </c>
      <c r="E3" s="473" t="s">
        <v>366</v>
      </c>
      <c r="F3" s="473" t="s">
        <v>367</v>
      </c>
      <c r="G3" s="473" t="s">
        <v>368</v>
      </c>
      <c r="H3" s="473" t="s">
        <v>369</v>
      </c>
      <c r="I3" s="473" t="s">
        <v>370</v>
      </c>
      <c r="J3" s="474" t="s">
        <v>371</v>
      </c>
      <c r="K3" s="473" t="s">
        <v>372</v>
      </c>
      <c r="L3" s="473" t="s">
        <v>373</v>
      </c>
      <c r="M3" s="474" t="s">
        <v>230</v>
      </c>
      <c r="N3" s="474" t="s">
        <v>232</v>
      </c>
      <c r="O3" s="473" t="s">
        <v>374</v>
      </c>
      <c r="P3" s="473" t="s">
        <v>375</v>
      </c>
      <c r="Q3" s="473" t="s">
        <v>376</v>
      </c>
      <c r="R3" s="474" t="s">
        <v>377</v>
      </c>
      <c r="S3" s="475" t="s">
        <v>378</v>
      </c>
    </row>
    <row r="4" spans="2:19" ht="10.5" x14ac:dyDescent="0.25">
      <c r="B4" s="461" t="s">
        <v>390</v>
      </c>
      <c r="C4" s="476">
        <f>+'[5]App B.2 Savings'!$D$9</f>
        <v>45052108.722600006</v>
      </c>
      <c r="D4" s="476">
        <f>+'[5]App B.2 Savings'!$D$12</f>
        <v>1469486.9456660824</v>
      </c>
      <c r="E4" s="476">
        <f>+'[5]App B.2 Savings'!$D$13</f>
        <v>800887.86</v>
      </c>
      <c r="F4" s="476">
        <f>+'[5]App B.2 Savings'!$D$21</f>
        <v>46658861.005330384</v>
      </c>
      <c r="G4" s="476">
        <f>+'[5]App B.2 Savings'!$D$22</f>
        <v>38669944.761878654</v>
      </c>
      <c r="H4" s="476">
        <f>+'[5]App B.2 Savings'!$D$37</f>
        <v>202034959.44362634</v>
      </c>
      <c r="I4" s="476">
        <f>+'[5]App B.2 Savings'!$D$36</f>
        <v>20022094.435077991</v>
      </c>
      <c r="J4" s="476">
        <f>+'[5]App B.2 Savings'!$D$35</f>
        <v>0</v>
      </c>
      <c r="K4" s="476">
        <v>0</v>
      </c>
      <c r="L4" s="476">
        <f>+'[5]App B.2 Savings'!$D$44+'[5]App B.2 Savings'!$D$45</f>
        <v>291495892.81594473</v>
      </c>
      <c r="M4" s="476">
        <f>+'[5]App B.2 Savings'!$D$49</f>
        <v>0</v>
      </c>
      <c r="N4" s="476">
        <f>+'[5]App B.2 Savings'!$D$53</f>
        <v>964344.73434823984</v>
      </c>
      <c r="O4" s="476">
        <f>+'[5]App B.2 Savings'!$D$90</f>
        <v>10254612.977493493</v>
      </c>
      <c r="P4" s="476">
        <f>+'[5]App B.2 Savings'!$D$87</f>
        <v>5850000</v>
      </c>
      <c r="Q4" s="476">
        <f>+'[5]App B.2 Savings'!$D$88+'[5]App B.2 Savings'!$D$89</f>
        <v>3426017.0205000001</v>
      </c>
      <c r="R4" s="476">
        <v>0</v>
      </c>
      <c r="S4" s="477">
        <f>SUM(C4:R4)</f>
        <v>666699210.72246599</v>
      </c>
    </row>
    <row r="5" spans="2:19" ht="10.5" x14ac:dyDescent="0.25">
      <c r="B5" s="466" t="s">
        <v>391</v>
      </c>
      <c r="C5" s="476">
        <f>+'[5]App B.2 Savings'!$I$9</f>
        <v>10693.130970000004</v>
      </c>
      <c r="D5" s="476">
        <f>+'[5]App B.2 Savings'!$I$12</f>
        <v>1650.8318807896005</v>
      </c>
      <c r="E5" s="476">
        <f>+'[5]App B.2 Savings'!$I$13</f>
        <v>1418.08866143508</v>
      </c>
      <c r="F5" s="476">
        <f>+'[5]App B.2 Savings'!$I$21</f>
        <v>13555.032645928148</v>
      </c>
      <c r="G5" s="476">
        <f>+'[5]App B.2 Savings'!$I$22</f>
        <v>6905.3116470313498</v>
      </c>
      <c r="H5" s="476">
        <f>+'[5]App B.2 Savings'!$I$37</f>
        <v>32025.696233704872</v>
      </c>
      <c r="I5" s="476">
        <f>+'[5]App B.2 Savings'!$I$36</f>
        <v>4549.7399260000011</v>
      </c>
      <c r="J5" s="476">
        <f>+'[5]App B.2 Savings'!$I$35</f>
        <v>0</v>
      </c>
      <c r="K5" s="476">
        <v>0</v>
      </c>
      <c r="L5" s="476">
        <f>+'[5]App B.2 Savings'!$I$44+'[5]App B.2 Savings'!$I$45</f>
        <v>45576.501171751064</v>
      </c>
      <c r="M5" s="476">
        <f>+'[5]App B.2 Savings'!$I$49</f>
        <v>0</v>
      </c>
      <c r="N5" s="476">
        <f>+'[5]App B.2 Savings'!$I$53</f>
        <v>162.12795795999995</v>
      </c>
      <c r="O5" s="476">
        <f>+'[5]App B.2 Savings'!$I$90</f>
        <v>1346.5147712291973</v>
      </c>
      <c r="P5" s="476">
        <f>+'[5]App B.2 Savings'!$I$87</f>
        <v>1067.4042885306567</v>
      </c>
      <c r="Q5" s="476">
        <f>+'[5]App B.2 Savings'!$I$88+'[5]App B.2 Savings'!$I$89</f>
        <v>418.34811981475002</v>
      </c>
      <c r="R5" s="476">
        <v>0</v>
      </c>
      <c r="S5" s="478">
        <f t="shared" ref="S5" si="0">SUM(C5:R5)</f>
        <v>119368.7282741747</v>
      </c>
    </row>
    <row r="6" spans="2:19" ht="10.95" thickBot="1" x14ac:dyDescent="0.3">
      <c r="B6" s="467" t="s">
        <v>392</v>
      </c>
      <c r="C6" s="479"/>
      <c r="D6" s="479"/>
      <c r="E6" s="479"/>
      <c r="F6" s="479"/>
      <c r="G6" s="479"/>
      <c r="H6" s="479"/>
      <c r="I6" s="479"/>
      <c r="J6" s="479"/>
      <c r="K6" s="479"/>
      <c r="L6" s="479"/>
      <c r="M6" s="479"/>
      <c r="N6" s="479"/>
      <c r="O6" s="479"/>
      <c r="P6" s="479"/>
      <c r="Q6" s="479"/>
      <c r="R6" s="479"/>
      <c r="S6" s="480">
        <f>SUM(C6:R6)</f>
        <v>0</v>
      </c>
    </row>
    <row r="8" spans="2:19" ht="10.95" thickBot="1" x14ac:dyDescent="0.3"/>
    <row r="9" spans="2:19" ht="42.45" thickBot="1" x14ac:dyDescent="0.3">
      <c r="B9" s="472" t="s">
        <v>385</v>
      </c>
      <c r="C9" s="473" t="s">
        <v>364</v>
      </c>
      <c r="D9" s="473" t="s">
        <v>365</v>
      </c>
      <c r="E9" s="473" t="s">
        <v>366</v>
      </c>
      <c r="F9" s="473" t="s">
        <v>367</v>
      </c>
      <c r="G9" s="473" t="s">
        <v>368</v>
      </c>
      <c r="H9" s="473" t="s">
        <v>369</v>
      </c>
      <c r="I9" s="473" t="s">
        <v>370</v>
      </c>
      <c r="J9" s="474" t="s">
        <v>371</v>
      </c>
      <c r="K9" s="473" t="s">
        <v>372</v>
      </c>
      <c r="L9" s="473" t="s">
        <v>373</v>
      </c>
      <c r="M9" s="474" t="s">
        <v>230</v>
      </c>
      <c r="N9" s="474" t="s">
        <v>232</v>
      </c>
      <c r="O9" s="473" t="s">
        <v>374</v>
      </c>
      <c r="P9" s="473" t="s">
        <v>375</v>
      </c>
      <c r="Q9" s="473" t="s">
        <v>376</v>
      </c>
      <c r="R9" s="474" t="s">
        <v>377</v>
      </c>
      <c r="S9" s="475" t="s">
        <v>378</v>
      </c>
    </row>
    <row r="10" spans="2:19" ht="10.5" x14ac:dyDescent="0.25">
      <c r="B10" s="461" t="s">
        <v>390</v>
      </c>
      <c r="C10" s="476">
        <f>+'[5]App B.2 Savings'!$F$9</f>
        <v>25377951.926845998</v>
      </c>
      <c r="D10" s="476">
        <f>+'[5]App B.2 Savings'!$F$12</f>
        <v>530532.09284923703</v>
      </c>
      <c r="E10" s="476">
        <f>+'[5]App B.2 Savings'!$F$13</f>
        <v>2722072.29</v>
      </c>
      <c r="F10" s="476">
        <f>+'[5]App B.2 Savings'!$F$21</f>
        <v>35108704.694896109</v>
      </c>
      <c r="G10" s="476">
        <f>+'[5]App B.2 Savings'!$F$22</f>
        <v>36394504.359999999</v>
      </c>
      <c r="H10" s="476">
        <f>+'[5]App B.2 Savings'!$F$37</f>
        <v>207674803.18465415</v>
      </c>
      <c r="I10" s="476">
        <f>+'[5]App B.2 Savings'!$F$36</f>
        <v>0</v>
      </c>
      <c r="J10" s="476">
        <f>+'[5]App B.2 Savings'!$F$35</f>
        <v>0</v>
      </c>
      <c r="K10" s="476">
        <v>0</v>
      </c>
      <c r="L10" s="476">
        <f>+'[5]App B.2 Savings'!$F$44+'[5]App B.2 Savings'!$F$45</f>
        <v>619000000</v>
      </c>
      <c r="M10" s="476">
        <f>+'[5]App B.2 Savings'!$F$49</f>
        <v>0</v>
      </c>
      <c r="N10" s="476">
        <f>+'[5]App B.2 Savings'!$F$53</f>
        <v>163762.71697900002</v>
      </c>
      <c r="O10" s="476">
        <f>+'[5]App B.2 Savings'!$F$90</f>
        <v>5509227.7586500002</v>
      </c>
      <c r="P10" s="476">
        <f>+'[5]App B.2 Savings'!$F$87</f>
        <v>6114633.3499999996</v>
      </c>
      <c r="Q10" s="476">
        <f>+'[5]App B.2 Savings'!$F$88+'[5]App B.2 Savings'!$F$89</f>
        <v>3523970.1506399997</v>
      </c>
      <c r="R10" s="476">
        <v>0</v>
      </c>
      <c r="S10" s="477">
        <f>SUM(C10:R10)</f>
        <v>942120162.52551448</v>
      </c>
    </row>
    <row r="11" spans="2:19" ht="10.5" x14ac:dyDescent="0.25">
      <c r="B11" s="466" t="s">
        <v>391</v>
      </c>
      <c r="C11" s="476">
        <f>+'[5]App B.2 Savings'!$K$9</f>
        <v>6933.2583109282368</v>
      </c>
      <c r="D11" s="476">
        <f>+'[5]App B.2 Savings'!$K$12</f>
        <v>247.11282417301328</v>
      </c>
      <c r="E11" s="476">
        <f>+'[5]App B.2 Savings'!$K$13</f>
        <v>2690.42</v>
      </c>
      <c r="F11" s="476">
        <f>+'[5]App B.2 Savings'!$K$21</f>
        <v>13245.104895104892</v>
      </c>
      <c r="G11" s="476">
        <f>+'[5]App B.2 Savings'!$K$22</f>
        <v>7565.3130000000001</v>
      </c>
      <c r="H11" s="476">
        <f>+'[5]App B.2 Savings'!$K$37</f>
        <v>30125.964278808537</v>
      </c>
      <c r="I11" s="476">
        <f>+'[5]App B.2 Savings'!$K$36</f>
        <v>0</v>
      </c>
      <c r="J11" s="476">
        <f>+'[5]App B.2 Savings'!$K$35</f>
        <v>0</v>
      </c>
      <c r="K11" s="476">
        <v>0</v>
      </c>
      <c r="L11" s="476">
        <f>+'[5]App B.2 Savings'!$K$44+'[5]App B.2 Savings'!$K$45</f>
        <v>144000</v>
      </c>
      <c r="M11" s="476">
        <f>+'[5]App B.2 Savings'!$K$49</f>
        <v>0</v>
      </c>
      <c r="N11" s="476">
        <f>+'[5]App B.2 Savings'!$K$53</f>
        <v>34.517254000000001</v>
      </c>
      <c r="O11" s="476">
        <f>+'[5]App B.2 Savings'!$K$90</f>
        <v>702.90789999999993</v>
      </c>
      <c r="P11" s="476">
        <f>+'[5]App B.2 Savings'!$K$87</f>
        <v>807.95500000000004</v>
      </c>
      <c r="Q11" s="476">
        <f>+'[5]App B.2 Savings'!$K$88+'[5]App B.2 Savings'!$K$89</f>
        <v>103.076331</v>
      </c>
      <c r="R11" s="476">
        <v>0</v>
      </c>
      <c r="S11" s="478">
        <f t="shared" ref="S11" si="1">SUM(C11:R11)</f>
        <v>206455.62979401465</v>
      </c>
    </row>
    <row r="12" spans="2:19" ht="10.95" thickBot="1" x14ac:dyDescent="0.3">
      <c r="B12" s="467" t="s">
        <v>392</v>
      </c>
      <c r="C12" s="468"/>
      <c r="D12" s="468"/>
      <c r="E12" s="468"/>
      <c r="F12" s="468"/>
      <c r="G12" s="468"/>
      <c r="H12" s="468"/>
      <c r="I12" s="468"/>
      <c r="J12" s="468"/>
      <c r="K12" s="468"/>
      <c r="L12" s="468"/>
      <c r="M12" s="468"/>
      <c r="N12" s="468"/>
      <c r="O12" s="468"/>
      <c r="P12" s="468"/>
      <c r="Q12" s="468"/>
      <c r="R12" s="468"/>
      <c r="S12" s="480">
        <f>SUM(C12:R12)</f>
        <v>0</v>
      </c>
    </row>
    <row r="13" spans="2:19" ht="10.5" x14ac:dyDescent="0.25">
      <c r="S13" s="471"/>
    </row>
    <row r="14" spans="2:19" ht="10.95" thickBot="1" x14ac:dyDescent="0.3">
      <c r="S14" s="471"/>
    </row>
    <row r="15" spans="2:19" ht="42.45" thickBot="1" x14ac:dyDescent="0.3">
      <c r="B15" s="472" t="s">
        <v>386</v>
      </c>
      <c r="C15" s="473" t="s">
        <v>364</v>
      </c>
      <c r="D15" s="473" t="s">
        <v>365</v>
      </c>
      <c r="E15" s="473" t="s">
        <v>366</v>
      </c>
      <c r="F15" s="473" t="s">
        <v>367</v>
      </c>
      <c r="G15" s="473" t="s">
        <v>368</v>
      </c>
      <c r="H15" s="473" t="s">
        <v>369</v>
      </c>
      <c r="I15" s="473" t="s">
        <v>370</v>
      </c>
      <c r="J15" s="474" t="s">
        <v>371</v>
      </c>
      <c r="K15" s="473" t="s">
        <v>372</v>
      </c>
      <c r="L15" s="473" t="s">
        <v>373</v>
      </c>
      <c r="M15" s="474" t="s">
        <v>230</v>
      </c>
      <c r="N15" s="474" t="s">
        <v>232</v>
      </c>
      <c r="O15" s="473" t="s">
        <v>374</v>
      </c>
      <c r="P15" s="473" t="s">
        <v>375</v>
      </c>
      <c r="Q15" s="473" t="s">
        <v>376</v>
      </c>
      <c r="R15" s="474" t="s">
        <v>377</v>
      </c>
      <c r="S15" s="481" t="s">
        <v>378</v>
      </c>
    </row>
    <row r="16" spans="2:19" ht="10.5" x14ac:dyDescent="0.25">
      <c r="B16" s="461" t="s">
        <v>390</v>
      </c>
      <c r="C16" s="476">
        <f>+'[5]App B.2 Savings'!$G$9</f>
        <v>19851597.678371102</v>
      </c>
      <c r="D16" s="476">
        <f>+'[5]App B.2 Savings'!$G$12</f>
        <v>0</v>
      </c>
      <c r="E16" s="476">
        <f>+'[5]App B.2 Savings'!$G$13</f>
        <v>0</v>
      </c>
      <c r="F16" s="476">
        <f>+'[5]App B.2 Savings'!$G$21</f>
        <v>28470220.277424701</v>
      </c>
      <c r="G16" s="476">
        <f>+'[5]App B.2 Savings'!$G$22</f>
        <v>39362643.575999998</v>
      </c>
      <c r="H16" s="476">
        <f>+'[5]App B.2 Savings'!$G$37</f>
        <v>226616830.55536199</v>
      </c>
      <c r="I16" s="476">
        <f>+'[5]App B.2 Savings'!$G$36</f>
        <v>0</v>
      </c>
      <c r="J16" s="476">
        <f>+'[5]App B.2 Savings'!$G$35</f>
        <v>0</v>
      </c>
      <c r="K16" s="476">
        <v>0</v>
      </c>
      <c r="L16" s="476">
        <f>+'[5]App B.2 Savings'!$G$44+'[5]App B.2 Savings'!$G$45</f>
        <v>660569233.53682208</v>
      </c>
      <c r="M16" s="476">
        <f>+'[5]App B.2 Savings'!$G$49</f>
        <v>0</v>
      </c>
      <c r="N16" s="476">
        <f>+'[5]App B.2 Savings'!$G$53</f>
        <v>0</v>
      </c>
      <c r="O16" s="476">
        <f>+'[5]App B.2 Savings'!$G$90</f>
        <v>4025880</v>
      </c>
      <c r="P16" s="476">
        <f>+'[5]App B.2 Savings'!$G$87</f>
        <v>3831333.3</v>
      </c>
      <c r="Q16" s="476">
        <f>+'[5]App B.2 Savings'!$G$88+'[5]App B.2 Savings'!$G$89</f>
        <v>3379071.7761599999</v>
      </c>
      <c r="R16" s="476">
        <v>0</v>
      </c>
      <c r="S16" s="477">
        <f>SUM(C16:R16)</f>
        <v>986106810.70013976</v>
      </c>
    </row>
    <row r="17" spans="2:19" ht="10.5" x14ac:dyDescent="0.25">
      <c r="B17" s="466" t="s">
        <v>391</v>
      </c>
      <c r="C17" s="476">
        <f>+'[5]App B.2 Savings'!$L$9</f>
        <v>8725.5422750057696</v>
      </c>
      <c r="D17" s="476">
        <f>+'[5]App B.2 Savings'!$L$12</f>
        <v>0</v>
      </c>
      <c r="E17" s="476">
        <f>+'[5]App B.2 Savings'!$L$13</f>
        <v>0</v>
      </c>
      <c r="F17" s="476">
        <f>+'[5]App B.2 Savings'!$L$21</f>
        <v>10755.3582563046</v>
      </c>
      <c r="G17" s="476">
        <f>+'[5]App B.2 Savings'!$L$22</f>
        <v>6569.8919999999998</v>
      </c>
      <c r="H17" s="476">
        <f>+'[5]App B.2 Savings'!$L$37</f>
        <v>35148.887590881197</v>
      </c>
      <c r="I17" s="476">
        <f>+'[5]App B.2 Savings'!$L$36</f>
        <v>0</v>
      </c>
      <c r="J17" s="476">
        <f>+'[5]App B.2 Savings'!$L$35</f>
        <v>0</v>
      </c>
      <c r="K17" s="476">
        <v>0</v>
      </c>
      <c r="L17" s="476">
        <f>+'[5]App B.2 Savings'!$L$44+'[5]App B.2 Savings'!$L$45</f>
        <v>128584.95746406852</v>
      </c>
      <c r="M17" s="476">
        <f>+'[5]App B.2 Savings'!$L$49</f>
        <v>0</v>
      </c>
      <c r="N17" s="476">
        <f>+'[5]App B.2 Savings'!$L$53</f>
        <v>0</v>
      </c>
      <c r="O17" s="476">
        <f>+'[5]App B.2 Savings'!$L$90</f>
        <v>466.75363292512498</v>
      </c>
      <c r="P17" s="476">
        <f>+'[5]App B.2 Savings'!$L$87</f>
        <v>790.79053196291204</v>
      </c>
      <c r="Q17" s="476">
        <f>+'[5]App B.2 Savings'!$L$88+'[5]App B.2 Savings'!$L$89</f>
        <v>210.09532703939999</v>
      </c>
      <c r="R17" s="476">
        <v>0</v>
      </c>
      <c r="S17" s="478">
        <f t="shared" ref="S17" si="2">SUM(C17:R17)</f>
        <v>191252.27707818753</v>
      </c>
    </row>
    <row r="18" spans="2:19" ht="10.95" thickBot="1" x14ac:dyDescent="0.3">
      <c r="B18" s="467" t="s">
        <v>392</v>
      </c>
      <c r="C18" s="468"/>
      <c r="D18" s="468"/>
      <c r="E18" s="468"/>
      <c r="F18" s="468"/>
      <c r="G18" s="468"/>
      <c r="H18" s="468"/>
      <c r="I18" s="468"/>
      <c r="J18" s="468"/>
      <c r="K18" s="468"/>
      <c r="L18" s="468"/>
      <c r="M18" s="468"/>
      <c r="N18" s="468"/>
      <c r="O18" s="468"/>
      <c r="P18" s="468"/>
      <c r="Q18" s="468"/>
      <c r="R18" s="468"/>
      <c r="S18" s="480">
        <f>SUM(C18:R18)</f>
        <v>0</v>
      </c>
    </row>
    <row r="20" spans="2:19" ht="10.95" thickBot="1" x14ac:dyDescent="0.3"/>
    <row r="21" spans="2:19" ht="42.45" thickBot="1" x14ac:dyDescent="0.3">
      <c r="B21" s="472" t="s">
        <v>387</v>
      </c>
      <c r="C21" s="473" t="s">
        <v>364</v>
      </c>
      <c r="D21" s="473" t="s">
        <v>365</v>
      </c>
      <c r="E21" s="473" t="s">
        <v>366</v>
      </c>
      <c r="F21" s="473" t="s">
        <v>367</v>
      </c>
      <c r="G21" s="473" t="s">
        <v>368</v>
      </c>
      <c r="H21" s="473" t="s">
        <v>369</v>
      </c>
      <c r="I21" s="473" t="s">
        <v>370</v>
      </c>
      <c r="J21" s="474" t="s">
        <v>371</v>
      </c>
      <c r="K21" s="473" t="s">
        <v>372</v>
      </c>
      <c r="L21" s="473" t="s">
        <v>373</v>
      </c>
      <c r="M21" s="474" t="s">
        <v>230</v>
      </c>
      <c r="N21" s="474" t="s">
        <v>232</v>
      </c>
      <c r="O21" s="473" t="s">
        <v>374</v>
      </c>
      <c r="P21" s="473" t="s">
        <v>375</v>
      </c>
      <c r="Q21" s="473" t="s">
        <v>376</v>
      </c>
      <c r="R21" s="474" t="s">
        <v>377</v>
      </c>
      <c r="S21" s="475" t="s">
        <v>378</v>
      </c>
    </row>
    <row r="22" spans="2:19" ht="10.5" x14ac:dyDescent="0.25">
      <c r="B22" s="461" t="s">
        <v>390</v>
      </c>
      <c r="C22" s="476">
        <f t="shared" ref="C22:R24" si="3">+C4+C10+C16</f>
        <v>90281658.327817112</v>
      </c>
      <c r="D22" s="476">
        <f t="shared" si="3"/>
        <v>2000019.0385153196</v>
      </c>
      <c r="E22" s="476">
        <f t="shared" si="3"/>
        <v>3522960.15</v>
      </c>
      <c r="F22" s="476">
        <f t="shared" si="3"/>
        <v>110237785.97765118</v>
      </c>
      <c r="G22" s="476">
        <f t="shared" si="3"/>
        <v>114427092.69787866</v>
      </c>
      <c r="H22" s="476">
        <f t="shared" si="3"/>
        <v>636326593.18364251</v>
      </c>
      <c r="I22" s="476">
        <f t="shared" si="3"/>
        <v>20022094.435077991</v>
      </c>
      <c r="J22" s="476">
        <f t="shared" si="3"/>
        <v>0</v>
      </c>
      <c r="K22" s="476">
        <f t="shared" si="3"/>
        <v>0</v>
      </c>
      <c r="L22" s="476">
        <f t="shared" si="3"/>
        <v>1571065126.3527668</v>
      </c>
      <c r="M22" s="476">
        <f t="shared" si="3"/>
        <v>0</v>
      </c>
      <c r="N22" s="476">
        <f t="shared" si="3"/>
        <v>1128107.4513272399</v>
      </c>
      <c r="O22" s="476">
        <f t="shared" si="3"/>
        <v>19789720.736143492</v>
      </c>
      <c r="P22" s="476">
        <f t="shared" si="3"/>
        <v>15795966.649999999</v>
      </c>
      <c r="Q22" s="476">
        <f t="shared" si="3"/>
        <v>10329058.9473</v>
      </c>
      <c r="R22" s="476">
        <f t="shared" si="3"/>
        <v>0</v>
      </c>
      <c r="S22" s="477">
        <f>SUM(C22:R22)</f>
        <v>2594926183.9481206</v>
      </c>
    </row>
    <row r="23" spans="2:19" ht="10.5" x14ac:dyDescent="0.25">
      <c r="B23" s="466" t="s">
        <v>391</v>
      </c>
      <c r="C23" s="482">
        <f t="shared" si="3"/>
        <v>26351.93155593401</v>
      </c>
      <c r="D23" s="482">
        <f t="shared" si="3"/>
        <v>1897.9447049626137</v>
      </c>
      <c r="E23" s="482">
        <f t="shared" si="3"/>
        <v>4108.5086614350803</v>
      </c>
      <c r="F23" s="482">
        <f t="shared" si="3"/>
        <v>37555.495797337644</v>
      </c>
      <c r="G23" s="482">
        <f t="shared" si="3"/>
        <v>21040.516647031349</v>
      </c>
      <c r="H23" s="482">
        <f t="shared" si="3"/>
        <v>97300.548103394598</v>
      </c>
      <c r="I23" s="482">
        <f t="shared" si="3"/>
        <v>4549.7399260000011</v>
      </c>
      <c r="J23" s="482">
        <f t="shared" si="3"/>
        <v>0</v>
      </c>
      <c r="K23" s="482">
        <f t="shared" si="3"/>
        <v>0</v>
      </c>
      <c r="L23" s="482">
        <f t="shared" si="3"/>
        <v>318161.45863581961</v>
      </c>
      <c r="M23" s="482">
        <f t="shared" si="3"/>
        <v>0</v>
      </c>
      <c r="N23" s="482">
        <f t="shared" si="3"/>
        <v>196.64521195999995</v>
      </c>
      <c r="O23" s="482">
        <f t="shared" si="3"/>
        <v>2516.1763041543227</v>
      </c>
      <c r="P23" s="482">
        <f t="shared" si="3"/>
        <v>2666.1498204935688</v>
      </c>
      <c r="Q23" s="482">
        <f t="shared" si="3"/>
        <v>731.51977785414999</v>
      </c>
      <c r="R23" s="482">
        <f t="shared" si="3"/>
        <v>0</v>
      </c>
      <c r="S23" s="478">
        <f t="shared" ref="S23" si="4">SUM(C23:R23)</f>
        <v>517076.63514637697</v>
      </c>
    </row>
    <row r="24" spans="2:19" ht="10.95" thickBot="1" x14ac:dyDescent="0.3">
      <c r="B24" s="467" t="s">
        <v>392</v>
      </c>
      <c r="C24" s="479">
        <f t="shared" si="3"/>
        <v>0</v>
      </c>
      <c r="D24" s="479">
        <f t="shared" si="3"/>
        <v>0</v>
      </c>
      <c r="E24" s="479">
        <f t="shared" si="3"/>
        <v>0</v>
      </c>
      <c r="F24" s="479">
        <f t="shared" si="3"/>
        <v>0</v>
      </c>
      <c r="G24" s="479">
        <f t="shared" si="3"/>
        <v>0</v>
      </c>
      <c r="H24" s="479">
        <f t="shared" si="3"/>
        <v>0</v>
      </c>
      <c r="I24" s="479">
        <f t="shared" si="3"/>
        <v>0</v>
      </c>
      <c r="J24" s="479">
        <f t="shared" si="3"/>
        <v>0</v>
      </c>
      <c r="K24" s="479">
        <f t="shared" si="3"/>
        <v>0</v>
      </c>
      <c r="L24" s="479">
        <f t="shared" si="3"/>
        <v>0</v>
      </c>
      <c r="M24" s="479">
        <f t="shared" si="3"/>
        <v>0</v>
      </c>
      <c r="N24" s="479">
        <f t="shared" si="3"/>
        <v>0</v>
      </c>
      <c r="O24" s="479">
        <f t="shared" si="3"/>
        <v>0</v>
      </c>
      <c r="P24" s="479">
        <f t="shared" si="3"/>
        <v>0</v>
      </c>
      <c r="Q24" s="479">
        <f t="shared" si="3"/>
        <v>0</v>
      </c>
      <c r="R24" s="479">
        <f t="shared" si="3"/>
        <v>0</v>
      </c>
      <c r="S24" s="480">
        <f>SUM(C24:R24)</f>
        <v>0</v>
      </c>
    </row>
    <row r="27" spans="2:19" ht="10.5" x14ac:dyDescent="0.25">
      <c r="B27" s="452" t="s">
        <v>388</v>
      </c>
    </row>
    <row r="28" spans="2:19" ht="10.5" x14ac:dyDescent="0.25">
      <c r="B28" s="471" t="s">
        <v>389</v>
      </c>
    </row>
    <row r="30" spans="2:19" ht="10.5" x14ac:dyDescent="0.25">
      <c r="B30" s="483" t="s">
        <v>393</v>
      </c>
      <c r="C30" s="48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Legal Document" ma:contentTypeID="0x01010059CF184591B1604A8B5108A47612E8120079F4DEF02488604A908630558A2EAE2A" ma:contentTypeVersion="13" ma:contentTypeDescription="" ma:contentTypeScope="" ma:versionID="b76f4dd109b15dcf03ed266591ea7384">
  <xsd:schema xmlns:xsd="http://www.w3.org/2001/XMLSchema" xmlns:xs="http://www.w3.org/2001/XMLSchema" xmlns:p="http://schemas.microsoft.com/office/2006/metadata/properties" xmlns:ns3="ec52a836-0bb4-4d79-aa0d-20b4805e15e2" xmlns:ns4="e45da448-bf9c-43e8-8676-7e88d583ded9" xmlns:ns5="43ebc385-919f-4264-8390-972eb2033e46" targetNamespace="http://schemas.microsoft.com/office/2006/metadata/properties" ma:root="true" ma:fieldsID="76922e69b599681b042a1b659201703b" ns3:_="" ns4:_="" ns5:_="">
    <xsd:import namespace="ec52a836-0bb4-4d79-aa0d-20b4805e15e2"/>
    <xsd:import namespace="e45da448-bf9c-43e8-8676-7e88d583ded9"/>
    <xsd:import namespace="43ebc385-919f-4264-8390-972eb2033e46"/>
    <xsd:element name="properties">
      <xsd:complexType>
        <xsd:sequence>
          <xsd:element name="documentManagement">
            <xsd:complexType>
              <xsd:all>
                <xsd:element ref="ns3:Document_x0020_Date" minOccurs="0"/>
                <xsd:element ref="ns3:SharedWithUsers" minOccurs="0"/>
                <xsd:element ref="ns3:SharedWithDetails" minOccurs="0"/>
                <xsd:element ref="ns3:Legal_x0020_Group1" minOccurs="0"/>
                <xsd:element ref="ns4:TaxCatchAll" minOccurs="0"/>
                <xsd:element ref="ns4:TaxCatchAllLabel" minOccurs="0"/>
                <xsd:element ref="ns3:TaxKeywordTaxHTField" minOccurs="0"/>
                <xsd:element ref="ns5:LastSharedByUser" minOccurs="0"/>
                <xsd:element ref="ns5:LastSharedByTime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52a836-0bb4-4d79-aa0d-20b4805e15e2" elementFormDefault="qualified">
    <xsd:import namespace="http://schemas.microsoft.com/office/2006/documentManagement/types"/>
    <xsd:import namespace="http://schemas.microsoft.com/office/infopath/2007/PartnerControls"/>
    <xsd:element name="Document_x0020_Date" ma:index="3" nillable="true" ma:displayName="Document Date" ma:format="DateOnly" ma:internalName="Document_x0020_Date">
      <xsd:simpleType>
        <xsd:restriction base="dms:DateTime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egal_x0020_Group1" ma:index="13" nillable="true" ma:displayName="Legal Group" ma:format="Dropdown" ma:internalName="Legal_x0020_Group1">
      <xsd:simpleType>
        <xsd:restriction base="dms:Choice">
          <xsd:enumeration value="Claims and General Litigation"/>
          <xsd:enumeration value="Commercial Litigation"/>
          <xsd:enumeration value="Contracts And Intellectual Property"/>
          <xsd:enumeration value="Base Rates and Grid Support"/>
          <xsd:enumeration value="Corporate Governance - Area"/>
          <xsd:enumeration value="Customer and Tariff"/>
          <xsd:enumeration value="Labor and Employment"/>
          <xsd:enumeration value="Licensing and Environmental"/>
          <xsd:enumeration value="Power Procurement"/>
          <xsd:enumeration value="Real Prop and Local Government"/>
          <xsd:enumeration value="Resource Policy and Planning"/>
          <xsd:enumeration value="Transmission and Wholesale Markets"/>
        </xsd:restriction>
      </xsd:simpleType>
    </xsd:element>
    <xsd:element name="TaxKeywordTaxHTField" ma:index="17" nillable="true" ma:taxonomy="true" ma:internalName="TaxKeywordTaxHTField" ma:taxonomyFieldName="TaxKeyword" ma:displayName="Enterprise Keywords" ma:fieldId="{23f27201-bee3-471e-b2e7-b64fd8b7ca38}" ma:taxonomyMulti="true" ma:sspId="1da7e81d-6ea8-45c5-b51f-f6fb8dd5843f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_dlc_DocId" ma:index="2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5da448-bf9c-43e8-8676-7e88d583ded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description="" ma:hidden="true" ma:list="{0a8c02f6-2558-4537-a7e1-51f8d166058a}" ma:internalName="TaxCatchAll" ma:showField="CatchAllData" ma:web="ec52a836-0bb4-4d79-aa0d-20b4805e15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description="" ma:hidden="true" ma:list="{0a8c02f6-2558-4537-a7e1-51f8d166058a}" ma:internalName="TaxCatchAllLabel" ma:readOnly="true" ma:showField="CatchAllDataLabel" ma:web="ec52a836-0bb4-4d79-aa0d-20b4805e15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ebc385-919f-4264-8390-972eb2033e46" elementFormDefault="qualified">
    <xsd:import namespace="http://schemas.microsoft.com/office/2006/documentManagement/types"/>
    <xsd:import namespace="http://schemas.microsoft.com/office/infopath/2007/PartnerControls"/>
    <xsd:element name="LastSharedByUser" ma:index="18" nillable="true" ma:displayName="Last Shared By User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9" nillable="true" ma:displayName="Last Shared By Time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" ma:displayName="Author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1" ma:displayName="Title"/>
        <xsd:element ref="dc:subject" minOccurs="0" maxOccurs="1"/>
        <xsd:element ref="dc:description" minOccurs="0" maxOccurs="1" ma:index="4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Date xmlns="ec52a836-0bb4-4d79-aa0d-20b4805e15e2" xsi:nil="true"/>
    <TaxCatchAll xmlns="e45da448-bf9c-43e8-8676-7e88d583ded9"/>
    <Legal_x0020_Group1 xmlns="ec52a836-0bb4-4d79-aa0d-20b4805e15e2">Customer and Tariff</Legal_x0020_Group1>
    <TaxKeywordTaxHTField xmlns="ec52a836-0bb4-4d79-aa0d-20b4805e15e2">
      <Terms xmlns="http://schemas.microsoft.com/office/infopath/2007/PartnerControls"/>
    </TaxKeywordTaxHTField>
    <_dlc_DocId xmlns="ec52a836-0bb4-4d79-aa0d-20b4805e15e2">LIMSO365-1779931240-953</_dlc_DocId>
    <_dlc_DocIdUrl xmlns="ec52a836-0bb4-4d79-aa0d-20b4805e15e2">
      <Url>https://edisonintl.sharepoint.com/teams/LIMS O365/CTWS/_layouts/15/DocIdRedir.aspx?ID=LIMSO365-1779931240-953</Url>
      <Description>LIMSO365-1779931240-953</Description>
    </_dlc_DocIdUrl>
  </documentManagement>
</p:properties>
</file>

<file path=customXml/itemProps1.xml><?xml version="1.0" encoding="utf-8"?>
<ds:datastoreItem xmlns:ds="http://schemas.openxmlformats.org/officeDocument/2006/customXml" ds:itemID="{109088E3-4FD0-4250-8AFD-490588D30080}"/>
</file>

<file path=customXml/itemProps2.xml><?xml version="1.0" encoding="utf-8"?>
<ds:datastoreItem xmlns:ds="http://schemas.openxmlformats.org/officeDocument/2006/customXml" ds:itemID="{4BAC0A59-7C90-4CB9-9141-18AF9F93608B}"/>
</file>

<file path=customXml/itemProps3.xml><?xml version="1.0" encoding="utf-8"?>
<ds:datastoreItem xmlns:ds="http://schemas.openxmlformats.org/officeDocument/2006/customXml" ds:itemID="{934A1C5C-00DD-45F1-A439-95EC854161E9}"/>
</file>

<file path=customXml/itemProps4.xml><?xml version="1.0" encoding="utf-8"?>
<ds:datastoreItem xmlns:ds="http://schemas.openxmlformats.org/officeDocument/2006/customXml" ds:itemID="{7C93796B-195A-4B11-BC80-7470D55079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Portfolio Budget</vt:lpstr>
      <vt:lpstr>Portfolio Savings</vt:lpstr>
      <vt:lpstr>2018 Subprogram Est.</vt:lpstr>
      <vt:lpstr>App B.1 Budget</vt:lpstr>
      <vt:lpstr>App B.2 Savings</vt:lpstr>
      <vt:lpstr>Sector Budgets 3P 2017-2024</vt:lpstr>
      <vt:lpstr>Graphs</vt:lpstr>
      <vt:lpstr>Budget</vt:lpstr>
      <vt:lpstr>Savings</vt:lpstr>
      <vt:lpstr>Eric's Analysis</vt:lpstr>
      <vt:lpstr>Scale</vt:lpstr>
      <vt:lpstr>Sheet2</vt:lpstr>
      <vt:lpstr>CIA 3P Admin</vt:lpstr>
      <vt:lpstr>'2018 Subprogram Est.'!Print_Titles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Lee</dc:creator>
  <cp:lastModifiedBy>Anna M Wojtyna-Machon</cp:lastModifiedBy>
  <cp:lastPrinted>2016-11-29T23:58:02Z</cp:lastPrinted>
  <dcterms:created xsi:type="dcterms:W3CDTF">2016-06-14T22:55:41Z</dcterms:created>
  <dcterms:modified xsi:type="dcterms:W3CDTF">2017-01-12T21:46:05Z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0x01010059CF184591B1604A8B5108A47612E8120079F4DEF02488604A908630558A2EAE2A</vt:lpwstr>
  </property>
  <property fmtid="{D5CDD505-2E9C-101B-9397-08002B2CF9AE}" pid="3" name="_dlc_DocIdItemGuid">
    <vt:lpwstr>c1cf0297-6463-4cd7-92ae-e4c192488694</vt:lpwstr>
  </property>
  <property fmtid="{D5CDD505-2E9C-101B-9397-08002B2CF9AE}" pid="4" name="TaxKeyword">
    <vt:lpwstr/>
  </property>
</Properties>
</file>