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48" windowWidth="17952" windowHeight="109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Sheet1!$DC$1:$DF$52</definedName>
    <definedName name="_xlnm.Print_Titles" localSheetId="0">Sheet1!$A:$A</definedName>
  </definedNames>
  <calcPr calcId="145621"/>
</workbook>
</file>

<file path=xl/calcChain.xml><?xml version="1.0" encoding="utf-8"?>
<calcChain xmlns="http://schemas.openxmlformats.org/spreadsheetml/2006/main">
  <c r="DF16" i="1" l="1"/>
  <c r="DF13" i="1" l="1"/>
  <c r="DF47" i="1" l="1"/>
  <c r="DF12" i="1"/>
  <c r="DF11" i="1"/>
  <c r="DF9" i="1"/>
  <c r="DF8" i="1"/>
  <c r="DF7" i="1"/>
  <c r="DF6" i="1"/>
  <c r="DF4" i="1"/>
  <c r="DF3" i="1"/>
  <c r="DF15" i="1" l="1"/>
  <c r="CZ50" i="1"/>
  <c r="DF28" i="1" l="1"/>
  <c r="DF50" i="1"/>
  <c r="DF52" i="1" s="1"/>
  <c r="CZ52" i="1"/>
  <c r="CZ16" i="1" l="1"/>
  <c r="DA28" i="1"/>
  <c r="CZ47" i="1"/>
  <c r="DA15" i="1"/>
  <c r="DA11" i="1" l="1"/>
  <c r="DA3" i="1"/>
  <c r="CZ11" i="1" l="1"/>
  <c r="CZ3" i="1"/>
  <c r="CZ4" i="1"/>
  <c r="CZ12" i="1"/>
  <c r="CZ9" i="1"/>
  <c r="CZ8" i="1"/>
  <c r="CZ7" i="1"/>
  <c r="CZ6" i="1"/>
  <c r="CF3" i="1"/>
  <c r="CG3" i="1"/>
  <c r="CZ15" i="1" l="1"/>
  <c r="CZ28" i="1" s="1"/>
  <c r="CI7" i="1" l="1"/>
  <c r="CL7" i="1" s="1"/>
  <c r="CM3" i="1"/>
  <c r="CE9" i="1" l="1"/>
  <c r="CQ11" i="1" l="1"/>
  <c r="CQ3" i="1"/>
  <c r="CI11" i="1"/>
  <c r="CP11" i="1" s="1"/>
  <c r="CI3" i="1"/>
  <c r="CP3" i="1" s="1"/>
  <c r="CR11" i="1" l="1"/>
  <c r="CR3" i="1"/>
  <c r="CR15" i="1" l="1"/>
  <c r="CN39" i="1" l="1"/>
  <c r="CN47" i="1" s="1"/>
  <c r="CN49" i="1" s="1"/>
  <c r="CL10" i="1" l="1"/>
  <c r="CI12" i="1" l="1"/>
  <c r="CL12" i="1" s="1"/>
  <c r="CL11" i="1" l="1"/>
  <c r="CI9" i="1"/>
  <c r="CL9" i="1" s="1"/>
  <c r="CL3" i="1"/>
  <c r="CI8" i="1"/>
  <c r="CL8" i="1" s="1"/>
  <c r="CI6" i="1"/>
  <c r="CL6" i="1" s="1"/>
  <c r="CI4" i="1"/>
  <c r="CL4" i="1" s="1"/>
  <c r="CA16" i="1"/>
  <c r="CL15" i="1" l="1"/>
  <c r="CL28" i="1" l="1"/>
  <c r="BV16" i="1"/>
  <c r="BI16" i="1" l="1"/>
  <c r="BV11" i="1"/>
  <c r="BH5" i="1"/>
  <c r="CA3" i="1"/>
  <c r="CA11" i="1"/>
  <c r="CE11" i="1"/>
  <c r="CG11" i="1" l="1"/>
  <c r="CM11" i="1" s="1"/>
  <c r="CF11" i="1"/>
  <c r="BZ14" i="1"/>
  <c r="CA10" i="1"/>
  <c r="BX9" i="1"/>
  <c r="CD9" i="1" s="1"/>
  <c r="BX8" i="1"/>
  <c r="CA8" i="1" s="1"/>
  <c r="BX7" i="1"/>
  <c r="CA7" i="1" s="1"/>
  <c r="BX6" i="1"/>
  <c r="CA6" i="1" s="1"/>
  <c r="BX4" i="1"/>
  <c r="CA4" i="1" s="1"/>
  <c r="CG9" i="1" l="1"/>
  <c r="CM9" i="1" s="1"/>
  <c r="CM15" i="1" s="1"/>
  <c r="CN15" i="1" s="1"/>
  <c r="CF9" i="1"/>
  <c r="CF15" i="1" s="1"/>
  <c r="CM28" i="1"/>
  <c r="CA9" i="1"/>
  <c r="CA15" i="1" s="1"/>
  <c r="BS9" i="1"/>
  <c r="BV9" i="1" s="1"/>
  <c r="BU14" i="1"/>
  <c r="CG15" i="1"/>
  <c r="CH15" i="1" s="1"/>
  <c r="BS10" i="1"/>
  <c r="BV10" i="1" s="1"/>
  <c r="BS8" i="1"/>
  <c r="BV8" i="1" s="1"/>
  <c r="BS7" i="1"/>
  <c r="BV7" i="1" s="1"/>
  <c r="BS6" i="1"/>
  <c r="BV6" i="1" s="1"/>
  <c r="BS4" i="1"/>
  <c r="BV4" i="1" s="1"/>
  <c r="BS3" i="1"/>
  <c r="BV3" i="1" s="1"/>
  <c r="BH9" i="1" l="1"/>
  <c r="CN28" i="1"/>
  <c r="CN50" i="1" s="1"/>
  <c r="BV15" i="1"/>
  <c r="BP16" i="1" l="1"/>
  <c r="BP11" i="1"/>
  <c r="BH11" i="1" s="1"/>
  <c r="BP10" i="1"/>
  <c r="BH10" i="1" s="1"/>
  <c r="BP8" i="1"/>
  <c r="BH8" i="1" s="1"/>
  <c r="BP7" i="1"/>
  <c r="BH7" i="1" s="1"/>
  <c r="BP6" i="1"/>
  <c r="BH6" i="1" s="1"/>
  <c r="BP4" i="1"/>
  <c r="BH4" i="1" s="1"/>
  <c r="BP3" i="1"/>
  <c r="BL11" i="1"/>
  <c r="BL10" i="1"/>
  <c r="BL8" i="1"/>
  <c r="BL7" i="1"/>
  <c r="BL6" i="1"/>
  <c r="BL4" i="1"/>
  <c r="BL3" i="1"/>
  <c r="BH3" i="1" l="1"/>
  <c r="BI15" i="1" s="1"/>
  <c r="BP15" i="1"/>
  <c r="BB47" i="1"/>
  <c r="BI28" i="1" l="1"/>
  <c r="BI40" i="1"/>
  <c r="BI47" i="1" s="1"/>
  <c r="BI50" i="1" s="1"/>
  <c r="BN14" i="1" l="1"/>
  <c r="BO11" i="1"/>
  <c r="BO10" i="1"/>
  <c r="BO8" i="1"/>
  <c r="BO7" i="1"/>
  <c r="BO6" i="1"/>
  <c r="BO4" i="1"/>
  <c r="BO3" i="1"/>
  <c r="BB50" i="1"/>
  <c r="BB51" i="1" s="1"/>
  <c r="BO14" i="1" l="1"/>
  <c r="AT47" i="1" l="1"/>
  <c r="AL52" i="1" l="1"/>
  <c r="AL53" i="1" s="1"/>
  <c r="AL55" i="1" s="1"/>
  <c r="AL47" i="1" l="1"/>
  <c r="AL16" i="1"/>
  <c r="AJ14" i="1" l="1"/>
  <c r="AL10" i="1"/>
  <c r="AL8" i="1"/>
  <c r="AL7" i="1"/>
  <c r="AL6" i="1"/>
  <c r="AL4" i="1"/>
  <c r="AL3" i="1"/>
  <c r="AL15" i="1" l="1"/>
  <c r="AL28" i="1" s="1"/>
  <c r="AL14" i="1"/>
  <c r="AL50" i="1" s="1"/>
  <c r="AI8" i="1"/>
  <c r="AK8" i="1" s="1"/>
  <c r="AI7" i="1"/>
  <c r="AK7" i="1" s="1"/>
  <c r="AI6" i="1"/>
  <c r="AK6" i="1" s="1"/>
  <c r="AI10" i="1"/>
  <c r="AK10" i="1" s="1"/>
  <c r="AI4" i="1"/>
  <c r="AK4" i="1" s="1"/>
  <c r="AI3" i="1"/>
  <c r="AK3" i="1" s="1"/>
  <c r="AK14" i="1" l="1"/>
  <c r="AG16" i="1"/>
  <c r="AG47" i="1" l="1"/>
  <c r="AF9" i="1" l="1"/>
  <c r="AF8" i="1"/>
  <c r="AF7" i="1"/>
  <c r="AF6" i="1"/>
  <c r="AF4" i="1"/>
  <c r="AF3" i="1"/>
  <c r="AE5" i="1"/>
  <c r="AD14" i="1"/>
  <c r="AC7" i="1"/>
  <c r="AE7" i="1" s="1"/>
  <c r="AC9" i="1"/>
  <c r="AE9" i="1" s="1"/>
  <c r="AC8" i="1"/>
  <c r="AE8" i="1" s="1"/>
  <c r="AC6" i="1"/>
  <c r="AE6" i="1" s="1"/>
  <c r="AC4" i="1"/>
  <c r="AE4" i="1" s="1"/>
  <c r="AC3" i="1"/>
  <c r="AE3" i="1" s="1"/>
  <c r="AF14" i="1" l="1"/>
  <c r="AG15" i="1" s="1"/>
  <c r="AG50" i="1" s="1"/>
  <c r="AE14" i="1"/>
  <c r="Y16" i="1" l="1"/>
  <c r="X9" i="1" l="1"/>
  <c r="X8" i="1"/>
  <c r="T8" i="1"/>
  <c r="X6" i="1"/>
  <c r="X4" i="1"/>
  <c r="X3" i="1"/>
  <c r="W8" i="1"/>
  <c r="T9" i="1"/>
  <c r="W9" i="1" s="1"/>
  <c r="T6" i="1"/>
  <c r="W6" i="1" s="1"/>
  <c r="T4" i="1"/>
  <c r="W4" i="1" s="1"/>
  <c r="T3" i="1"/>
  <c r="W3" i="1" s="1"/>
  <c r="W14" i="1" l="1"/>
  <c r="X14" i="1"/>
  <c r="Y15" i="1"/>
  <c r="Y47" i="1"/>
  <c r="Y50" i="1" l="1"/>
  <c r="Y51" i="1" s="1"/>
  <c r="S51" i="1"/>
  <c r="Q47" i="1"/>
  <c r="P9" i="1" l="1"/>
  <c r="M9" i="1"/>
  <c r="O9" i="1" s="1"/>
  <c r="P8" i="1"/>
  <c r="M8" i="1"/>
  <c r="O8" i="1" s="1"/>
  <c r="P6" i="1"/>
  <c r="M6" i="1"/>
  <c r="O6" i="1" s="1"/>
  <c r="P5" i="1"/>
  <c r="M5" i="1"/>
  <c r="O5" i="1" s="1"/>
  <c r="P4" i="1"/>
  <c r="M4" i="1"/>
  <c r="O4" i="1" s="1"/>
  <c r="P3" i="1"/>
  <c r="M3" i="1"/>
  <c r="O3" i="1" s="1"/>
  <c r="P16" i="1"/>
  <c r="P15" i="1" l="1"/>
  <c r="Q28" i="1" s="1"/>
  <c r="Q50" i="1" s="1"/>
  <c r="K16" i="1"/>
  <c r="K9" i="1"/>
  <c r="K8" i="1"/>
  <c r="K6" i="1"/>
  <c r="K5" i="1"/>
  <c r="K4" i="1"/>
  <c r="K3" i="1"/>
  <c r="K15" i="1" l="1"/>
  <c r="K28" i="1" s="1"/>
  <c r="H8" i="1"/>
  <c r="J8" i="1" s="1"/>
  <c r="H6" i="1"/>
  <c r="J6" i="1" s="1"/>
  <c r="H5" i="1"/>
  <c r="J5" i="1" s="1"/>
  <c r="H3" i="1"/>
  <c r="J3" i="1" s="1"/>
  <c r="H9" i="1"/>
  <c r="J9" i="1" s="1"/>
  <c r="H4" i="1"/>
  <c r="J4" i="1" s="1"/>
  <c r="J15" i="1" l="1"/>
  <c r="K47" i="1"/>
  <c r="K50" i="1" s="1"/>
  <c r="F47" i="1" l="1"/>
  <c r="F16" i="1" l="1"/>
  <c r="F9" i="1"/>
  <c r="F8" i="1"/>
  <c r="F7" i="1"/>
  <c r="F6" i="1"/>
  <c r="F5" i="1"/>
  <c r="F4" i="1"/>
  <c r="F3" i="1"/>
  <c r="C7" i="1"/>
  <c r="E7" i="1" s="1"/>
  <c r="C6" i="1"/>
  <c r="E6" i="1" s="1"/>
  <c r="C8" i="1"/>
  <c r="E8" i="1" s="1"/>
  <c r="C5" i="1"/>
  <c r="E5" i="1" s="1"/>
  <c r="C4" i="1"/>
  <c r="E4" i="1" s="1"/>
  <c r="C3" i="1"/>
  <c r="E3" i="1" s="1"/>
  <c r="C9" i="1"/>
  <c r="E9" i="1" s="1"/>
  <c r="F15" i="1" l="1"/>
  <c r="F28" i="1" s="1"/>
  <c r="F50" i="1" s="1"/>
  <c r="E15" i="1"/>
</calcChain>
</file>

<file path=xl/comments1.xml><?xml version="1.0" encoding="utf-8"?>
<comments xmlns="http://schemas.openxmlformats.org/spreadsheetml/2006/main">
  <authors>
    <author>LucyN</author>
    <author>CindyC</author>
  </authors>
  <commentList>
    <comment ref="CQ3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total for Sep16-Oct16
</t>
        </r>
      </text>
    </comment>
    <comment ref="CD9" authorId="1">
      <text>
        <r>
          <rPr>
            <b/>
            <sz val="9"/>
            <color indexed="81"/>
            <rFont val="Tahoma"/>
            <family val="2"/>
          </rPr>
          <t xml:space="preserve">CindyC:
</t>
        </r>
        <r>
          <rPr>
            <sz val="9"/>
            <color indexed="81"/>
            <rFont val="Tahoma"/>
            <family val="2"/>
          </rPr>
          <t xml:space="preserve">Aug&amp;Sep was billed at rate $251.47.
Per Employee File Listing in August,
the updated billing rate should be $269.40
</t>
        </r>
      </text>
    </comment>
    <comment ref="CQ11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total for Aug16-Oct16</t>
        </r>
      </text>
    </comment>
    <comment ref="CH15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will be billed after budget revison approve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LucyN:</t>
        </r>
        <r>
          <rPr>
            <sz val="9"/>
            <color indexed="81"/>
            <rFont val="Tahoma"/>
            <family val="2"/>
          </rPr>
          <t xml:space="preserve">
changed name starting Sep2014
</t>
        </r>
      </text>
    </comment>
  </commentList>
</comments>
</file>

<file path=xl/sharedStrings.xml><?xml version="1.0" encoding="utf-8"?>
<sst xmlns="http://schemas.openxmlformats.org/spreadsheetml/2006/main" count="124" uniqueCount="70">
  <si>
    <t>Susan</t>
  </si>
  <si>
    <t>Ryan Jacoby</t>
  </si>
  <si>
    <t>Rate (include OH)</t>
  </si>
  <si>
    <t>Hours</t>
  </si>
  <si>
    <t>amount</t>
  </si>
  <si>
    <t>amount after rounding</t>
  </si>
  <si>
    <t>total personnel &amp; OH</t>
  </si>
  <si>
    <t>Other Direct costs</t>
  </si>
  <si>
    <t>total vendors under ABAG budget</t>
  </si>
  <si>
    <t>total ABAG</t>
  </si>
  <si>
    <t>StopWaste</t>
  </si>
  <si>
    <t>RCPA</t>
  </si>
  <si>
    <t>Santa Clara</t>
  </si>
  <si>
    <t>Marin</t>
  </si>
  <si>
    <t>Napa</t>
  </si>
  <si>
    <t>San Mateo</t>
  </si>
  <si>
    <t>CCC</t>
  </si>
  <si>
    <t>Solano</t>
  </si>
  <si>
    <t>ICF</t>
  </si>
  <si>
    <t>BKI</t>
  </si>
  <si>
    <t>ClearResult / Populus</t>
  </si>
  <si>
    <t>Jody London</t>
  </si>
  <si>
    <t>Blue Point Planning</t>
  </si>
  <si>
    <t>Sustainable Real Estate Solutions</t>
  </si>
  <si>
    <t>total consultant/member</t>
  </si>
  <si>
    <t>Ken Moy</t>
  </si>
  <si>
    <t>Concord Serviving Corporation</t>
  </si>
  <si>
    <t>MF/Impl - offering loans to MF prop owners with $0 interest</t>
  </si>
  <si>
    <t>grand total</t>
  </si>
  <si>
    <t xml:space="preserve">invoice amount </t>
  </si>
  <si>
    <t>May Chin</t>
  </si>
  <si>
    <t>June 2016 accrual</t>
  </si>
  <si>
    <t>Cornelius De Snoo</t>
  </si>
  <si>
    <t>unbilled AR balance on 6/30/16</t>
  </si>
  <si>
    <t>variance due to rounding</t>
  </si>
  <si>
    <t>Courtney Ruby</t>
  </si>
  <si>
    <t>9/1/2016 (ABAG's costs covering period from 7/1/16 - 9/30/16)</t>
  </si>
  <si>
    <t>ABAG subtract overage billing amount - pending budget revision approval (to be bill back later)</t>
  </si>
  <si>
    <t>release pymt 11/14/16</t>
  </si>
  <si>
    <t>Cindy Chen</t>
  </si>
  <si>
    <t>Aug-Sep hours to-be-billed in Oct</t>
  </si>
  <si>
    <t>Amount</t>
  </si>
  <si>
    <t>July+Oct</t>
  </si>
  <si>
    <t>Aug-Oct hours to be adjusted to new rate</t>
  </si>
  <si>
    <t>Max billing Rate</t>
  </si>
  <si>
    <t>Aug-Sep hours total at Maxmim rate.</t>
  </si>
  <si>
    <t>Adj to new Rate</t>
  </si>
  <si>
    <t>Aug-Oct adj total</t>
  </si>
  <si>
    <t>adj amt</t>
  </si>
  <si>
    <t>Aug-Sep</t>
  </si>
  <si>
    <t>adjusted total for consultant/member</t>
  </si>
  <si>
    <t>billed Oct16 member/consultant expenses after budget revision approved</t>
  </si>
  <si>
    <t>Adj. Total</t>
  </si>
  <si>
    <t>Jerry Lahr</t>
  </si>
  <si>
    <t>Jenny Berg</t>
  </si>
  <si>
    <t>Lucy Ng</t>
  </si>
  <si>
    <t>AP/Celia Imperial</t>
  </si>
  <si>
    <t>Actual Rate</t>
  </si>
  <si>
    <t>Actual amount</t>
  </si>
  <si>
    <t>Billed in a separate invoice in Nov-16</t>
  </si>
  <si>
    <t>CC San Francisco</t>
  </si>
  <si>
    <t>Aug-Oct adjtd increase</t>
  </si>
  <si>
    <t>(included adjtd increase amt)</t>
  </si>
  <si>
    <t>Vendors - ABAG budget: NorthBayBiz</t>
  </si>
  <si>
    <t>Vendors - ABAG budget: Zero Company Performance Marketing</t>
  </si>
  <si>
    <t>Vendors - ABAG budget: King's Embroidery</t>
  </si>
  <si>
    <t>Vendors - ABAG budget: KWMR</t>
  </si>
  <si>
    <t>Vendors - ABAG budget: Build It Green</t>
  </si>
  <si>
    <t>Edna Yeh</t>
  </si>
  <si>
    <t>Vendors - ABAG budget: Sustainable Real Estate Solutions,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</si>
</sst>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1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4" fontId="3" fillId="0" borderId="0" xfId="0" applyNumberFormat="1" applyFont="1"/>
    <xf numFmtId="0" fontId="3" fillId="0" borderId="0" xfId="0" applyFont="1"/>
    <xf numFmtId="4" fontId="0" fillId="0" borderId="0" xfId="0" applyNumberFormat="1" applyBorder="1"/>
    <xf numFmtId="4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4" fontId="0" fillId="0" borderId="2" xfId="0" applyNumberFormat="1" applyBorder="1"/>
    <xf numFmtId="4" fontId="0" fillId="0" borderId="0" xfId="0" applyNumberFormat="1" applyFill="1"/>
    <xf numFmtId="2" fontId="0" fillId="0" borderId="0" xfId="0" applyNumberFormat="1"/>
    <xf numFmtId="17" fontId="0" fillId="0" borderId="0" xfId="0" applyNumberFormat="1" applyAlignment="1"/>
    <xf numFmtId="0" fontId="0" fillId="0" borderId="0" xfId="0" applyAlignment="1"/>
    <xf numFmtId="0" fontId="0" fillId="0" borderId="3" xfId="0" applyBorder="1"/>
    <xf numFmtId="43" fontId="0" fillId="0" borderId="0" xfId="1" applyFont="1"/>
    <xf numFmtId="43" fontId="0" fillId="0" borderId="0" xfId="0" applyNumberFormat="1"/>
    <xf numFmtId="0" fontId="0" fillId="0" borderId="4" xfId="0" applyBorder="1"/>
    <xf numFmtId="2" fontId="0" fillId="0" borderId="4" xfId="0" applyNumberFormat="1" applyBorder="1"/>
    <xf numFmtId="0" fontId="0" fillId="0" borderId="5" xfId="0" applyBorder="1"/>
    <xf numFmtId="0" fontId="0" fillId="0" borderId="4" xfId="0" applyBorder="1" applyAlignment="1">
      <alignment horizontal="center"/>
    </xf>
    <xf numFmtId="4" fontId="0" fillId="2" borderId="0" xfId="0" applyNumberFormat="1" applyFill="1" applyAlignment="1">
      <alignment horizontal="right"/>
    </xf>
    <xf numFmtId="4" fontId="0" fillId="0" borderId="3" xfId="0" applyNumberFormat="1" applyFill="1" applyBorder="1"/>
    <xf numFmtId="0" fontId="0" fillId="0" borderId="4" xfId="0" applyBorder="1" applyAlignment="1">
      <alignment horizontal="right"/>
    </xf>
    <xf numFmtId="0" fontId="0" fillId="0" borderId="6" xfId="0" applyBorder="1"/>
    <xf numFmtId="43" fontId="0" fillId="2" borderId="4" xfId="1" applyFont="1" applyFill="1" applyBorder="1"/>
    <xf numFmtId="4" fontId="0" fillId="3" borderId="3" xfId="0" applyNumberFormat="1" applyFill="1" applyBorder="1"/>
    <xf numFmtId="0" fontId="0" fillId="0" borderId="3" xfId="0" applyBorder="1" applyAlignment="1"/>
    <xf numFmtId="0" fontId="0" fillId="0" borderId="0" xfId="0" applyFill="1" applyBorder="1" applyAlignment="1">
      <alignment horizontal="right"/>
    </xf>
    <xf numFmtId="0" fontId="0" fillId="2" borderId="4" xfId="0" applyFill="1" applyBorder="1"/>
    <xf numFmtId="43" fontId="0" fillId="0" borderId="4" xfId="1" applyFont="1" applyFill="1" applyBorder="1"/>
    <xf numFmtId="0" fontId="0" fillId="0" borderId="4" xfId="0" applyFill="1" applyBorder="1"/>
    <xf numFmtId="2" fontId="0" fillId="0" borderId="4" xfId="0" applyNumberFormat="1" applyFill="1" applyBorder="1"/>
    <xf numFmtId="1" fontId="0" fillId="0" borderId="0" xfId="0" applyNumberFormat="1" applyFill="1"/>
    <xf numFmtId="0" fontId="6" fillId="0" borderId="0" xfId="0" applyFont="1" applyAlignment="1">
      <alignment horizontal="right"/>
    </xf>
    <xf numFmtId="0" fontId="0" fillId="0" borderId="0" xfId="0" applyFill="1"/>
    <xf numFmtId="0" fontId="5" fillId="0" borderId="3" xfId="0" applyFont="1" applyBorder="1" applyAlignment="1">
      <alignment horizontal="center"/>
    </xf>
    <xf numFmtId="0" fontId="0" fillId="3" borderId="0" xfId="0" applyFill="1"/>
    <xf numFmtId="0" fontId="6" fillId="0" borderId="0" xfId="0" applyFont="1" applyBorder="1" applyAlignment="1">
      <alignment horizontal="right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43" fontId="0" fillId="0" borderId="0" xfId="1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2" fontId="0" fillId="0" borderId="0" xfId="0" applyNumberFormat="1" applyBorder="1"/>
    <xf numFmtId="43" fontId="0" fillId="2" borderId="0" xfId="1" applyFont="1" applyFill="1" applyBorder="1"/>
    <xf numFmtId="0" fontId="0" fillId="0" borderId="0" xfId="0" applyBorder="1" applyAlignment="1">
      <alignment horizontal="right"/>
    </xf>
    <xf numFmtId="0" fontId="0" fillId="2" borderId="0" xfId="0" applyFill="1" applyBorder="1"/>
    <xf numFmtId="43" fontId="0" fillId="0" borderId="0" xfId="0" applyNumberFormat="1" applyBorder="1"/>
    <xf numFmtId="43" fontId="3" fillId="0" borderId="0" xfId="1" applyFont="1"/>
    <xf numFmtId="43" fontId="0" fillId="0" borderId="0" xfId="1" applyFont="1" applyFill="1"/>
    <xf numFmtId="43" fontId="0" fillId="0" borderId="1" xfId="1" applyFont="1" applyBorder="1"/>
    <xf numFmtId="2" fontId="0" fillId="0" borderId="0" xfId="0" applyNumberFormat="1" applyFill="1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G58"/>
  <sheetViews>
    <sheetView tabSelected="1" workbookViewId="0">
      <pane xSplit="1" ySplit="2" topLeftCell="CY33" activePane="bottomRight" state="frozen"/>
      <selection pane="topRight" activeCell="B1" sqref="B1"/>
      <selection pane="bottomLeft" activeCell="A3" sqref="A3"/>
      <selection pane="bottomRight" activeCell="DF57" sqref="DF57"/>
    </sheetView>
  </sheetViews>
  <sheetFormatPr defaultRowHeight="14.4" x14ac:dyDescent="0.3"/>
  <cols>
    <col min="1" max="1" width="40" customWidth="1"/>
    <col min="2" max="2" width="4.109375" customWidth="1"/>
    <col min="3" max="3" width="16.6640625" bestFit="1" customWidth="1"/>
    <col min="6" max="6" width="20.88671875" customWidth="1"/>
    <col min="7" max="7" width="5.33203125" customWidth="1"/>
    <col min="8" max="8" width="16.6640625" bestFit="1" customWidth="1"/>
    <col min="9" max="9" width="10" bestFit="1" customWidth="1"/>
    <col min="11" max="11" width="21.44140625" bestFit="1" customWidth="1"/>
    <col min="12" max="12" width="10.109375" bestFit="1" customWidth="1"/>
    <col min="13" max="13" width="16.6640625" bestFit="1" customWidth="1"/>
    <col min="14" max="14" width="10.88671875" customWidth="1"/>
    <col min="16" max="16" width="21.44140625" bestFit="1" customWidth="1"/>
    <col min="17" max="17" width="12.33203125" customWidth="1"/>
    <col min="18" max="18" width="5.88671875" customWidth="1"/>
    <col min="19" max="19" width="10.109375" bestFit="1" customWidth="1"/>
    <col min="24" max="24" width="21.44140625" bestFit="1" customWidth="1"/>
    <col min="25" max="25" width="10.109375" bestFit="1" customWidth="1"/>
    <col min="26" max="26" width="12.44140625" customWidth="1"/>
    <col min="27" max="27" width="4" customWidth="1"/>
    <col min="28" max="28" width="3.109375" customWidth="1"/>
    <col min="29" max="29" width="16.6640625" bestFit="1" customWidth="1"/>
    <col min="31" max="31" width="9.109375" bestFit="1" customWidth="1"/>
    <col min="32" max="32" width="21.44140625" bestFit="1" customWidth="1"/>
    <col min="33" max="33" width="11.88671875" customWidth="1"/>
    <col min="35" max="35" width="10.109375" bestFit="1" customWidth="1"/>
    <col min="37" max="37" width="9.109375" bestFit="1" customWidth="1"/>
    <col min="38" max="38" width="21.5546875" bestFit="1" customWidth="1"/>
    <col min="40" max="40" width="11.6640625" bestFit="1" customWidth="1"/>
    <col min="46" max="46" width="10.109375" bestFit="1" customWidth="1"/>
    <col min="47" max="47" width="21.44140625" bestFit="1" customWidth="1"/>
    <col min="50" max="50" width="10.109375" bestFit="1" customWidth="1"/>
    <col min="53" max="53" width="9.109375" bestFit="1" customWidth="1"/>
    <col min="54" max="54" width="21.44140625" bestFit="1" customWidth="1"/>
    <col min="55" max="55" width="11.109375" customWidth="1"/>
    <col min="61" max="61" width="21.44140625" customWidth="1"/>
    <col min="62" max="62" width="11.5546875" bestFit="1" customWidth="1"/>
    <col min="63" max="63" width="10.33203125" customWidth="1"/>
    <col min="64" max="66" width="8.88671875" customWidth="1"/>
    <col min="67" max="68" width="11.109375" customWidth="1"/>
    <col min="69" max="69" width="10.109375" customWidth="1"/>
    <col min="70" max="73" width="8.88671875" customWidth="1"/>
    <col min="74" max="74" width="10" customWidth="1"/>
    <col min="75" max="78" width="8.88671875" customWidth="1"/>
    <col min="79" max="79" width="10" customWidth="1"/>
    <col min="80" max="80" width="7" customWidth="1"/>
    <col min="81" max="81" width="11" bestFit="1" customWidth="1"/>
    <col min="82" max="82" width="14" bestFit="1" customWidth="1"/>
    <col min="83" max="83" width="5.6640625" bestFit="1" customWidth="1"/>
    <col min="84" max="84" width="14" bestFit="1" customWidth="1"/>
    <col min="85" max="86" width="14.109375" customWidth="1"/>
    <col min="88" max="88" width="13.88671875" customWidth="1"/>
    <col min="89" max="89" width="12.33203125" customWidth="1"/>
    <col min="90" max="90" width="19.109375" customWidth="1"/>
    <col min="91" max="91" width="15.44140625" customWidth="1"/>
    <col min="92" max="92" width="14.6640625" customWidth="1"/>
    <col min="93" max="93" width="10.109375" customWidth="1"/>
    <col min="94" max="94" width="14" customWidth="1"/>
    <col min="95" max="95" width="10.109375" bestFit="1" customWidth="1"/>
    <col min="96" max="96" width="13.33203125" customWidth="1"/>
    <col min="103" max="103" width="11.33203125" customWidth="1"/>
    <col min="104" max="104" width="11.44140625" bestFit="1" customWidth="1"/>
    <col min="105" max="105" width="24.6640625" customWidth="1"/>
    <col min="110" max="110" width="13.109375" bestFit="1" customWidth="1"/>
    <col min="111" max="111" width="12.5546875" bestFit="1" customWidth="1"/>
  </cols>
  <sheetData>
    <row r="1" spans="1:111" ht="15" x14ac:dyDescent="0.25">
      <c r="C1" s="56">
        <v>42370</v>
      </c>
      <c r="D1" s="56"/>
      <c r="E1" s="56"/>
      <c r="F1" s="56"/>
      <c r="H1" s="56">
        <v>42401</v>
      </c>
      <c r="I1" s="56"/>
      <c r="J1" s="56"/>
      <c r="K1" s="56"/>
      <c r="M1" s="56">
        <v>42430</v>
      </c>
      <c r="N1" s="56"/>
      <c r="O1" s="56"/>
      <c r="P1" s="56"/>
      <c r="U1" s="56">
        <v>42461</v>
      </c>
      <c r="V1" s="56"/>
      <c r="W1" s="56"/>
      <c r="X1" s="56"/>
      <c r="AC1" s="56">
        <v>42491</v>
      </c>
      <c r="AD1" s="57"/>
      <c r="AE1" s="57"/>
      <c r="AF1" s="57"/>
      <c r="AI1" s="56">
        <v>42522</v>
      </c>
      <c r="AJ1" s="57"/>
      <c r="AK1" s="57"/>
      <c r="AL1" s="57"/>
      <c r="AR1" s="56">
        <v>42552</v>
      </c>
      <c r="AS1" s="57"/>
      <c r="AT1" s="57"/>
      <c r="AU1" s="57"/>
      <c r="AY1" s="56">
        <v>42583</v>
      </c>
      <c r="AZ1" s="57"/>
      <c r="BA1" s="57"/>
      <c r="BB1" s="57"/>
      <c r="BF1" s="13" t="s">
        <v>36</v>
      </c>
      <c r="BG1" s="14"/>
      <c r="BH1" s="14"/>
      <c r="BI1" s="14"/>
      <c r="BL1" s="56">
        <v>42552</v>
      </c>
      <c r="BM1" s="57"/>
      <c r="BN1" s="57"/>
      <c r="BO1" s="57"/>
      <c r="BS1" s="56">
        <v>42583</v>
      </c>
      <c r="BT1" s="57"/>
      <c r="BU1" s="57"/>
      <c r="BV1" s="57"/>
      <c r="BX1" s="56">
        <v>42614</v>
      </c>
      <c r="BY1" s="57"/>
      <c r="BZ1" s="57"/>
      <c r="CA1" s="57"/>
      <c r="CB1" s="9"/>
      <c r="CC1" s="9"/>
      <c r="CD1" s="58" t="s">
        <v>40</v>
      </c>
      <c r="CE1" s="59"/>
      <c r="CF1" s="59"/>
      <c r="CG1" s="60"/>
      <c r="CH1" s="43"/>
      <c r="CI1" s="56">
        <v>42644</v>
      </c>
      <c r="CJ1" s="57"/>
      <c r="CK1" s="57"/>
      <c r="CL1" s="57"/>
      <c r="CM1" s="41" t="s">
        <v>49</v>
      </c>
      <c r="CP1" s="58" t="s">
        <v>43</v>
      </c>
      <c r="CQ1" s="59"/>
      <c r="CR1" s="60"/>
      <c r="CW1" s="56">
        <v>42675</v>
      </c>
      <c r="CX1" s="57"/>
      <c r="CY1" s="57"/>
      <c r="CZ1" s="57"/>
      <c r="DC1" s="56">
        <v>42705</v>
      </c>
      <c r="DD1" s="57"/>
      <c r="DE1" s="57"/>
      <c r="DF1" s="57"/>
    </row>
    <row r="2" spans="1:111" ht="15" x14ac:dyDescent="0.25">
      <c r="C2" t="s">
        <v>2</v>
      </c>
      <c r="D2" t="s">
        <v>3</v>
      </c>
      <c r="E2" t="s">
        <v>4</v>
      </c>
      <c r="F2" t="s">
        <v>5</v>
      </c>
      <c r="H2" t="s">
        <v>2</v>
      </c>
      <c r="I2" t="s">
        <v>3</v>
      </c>
      <c r="J2" t="s">
        <v>4</v>
      </c>
      <c r="K2" t="s">
        <v>5</v>
      </c>
      <c r="M2" s="7" t="s">
        <v>2</v>
      </c>
      <c r="N2" s="7" t="s">
        <v>3</v>
      </c>
      <c r="O2" s="7" t="s">
        <v>4</v>
      </c>
      <c r="P2" s="7" t="s">
        <v>5</v>
      </c>
      <c r="U2" s="7" t="s">
        <v>2</v>
      </c>
      <c r="V2" s="7" t="s">
        <v>3</v>
      </c>
      <c r="W2" s="7" t="s">
        <v>4</v>
      </c>
      <c r="X2" s="7" t="s">
        <v>5</v>
      </c>
      <c r="AC2" s="7" t="s">
        <v>2</v>
      </c>
      <c r="AD2" s="7" t="s">
        <v>3</v>
      </c>
      <c r="AE2" s="7" t="s">
        <v>4</v>
      </c>
      <c r="AF2" s="7" t="s">
        <v>5</v>
      </c>
      <c r="AI2" s="7" t="s">
        <v>2</v>
      </c>
      <c r="AJ2" s="7" t="s">
        <v>3</v>
      </c>
      <c r="AK2" s="7" t="s">
        <v>4</v>
      </c>
      <c r="AL2" s="7" t="s">
        <v>5</v>
      </c>
      <c r="AR2" s="7" t="s">
        <v>2</v>
      </c>
      <c r="AS2" s="7" t="s">
        <v>3</v>
      </c>
      <c r="AT2" s="7" t="s">
        <v>4</v>
      </c>
      <c r="AU2" s="7" t="s">
        <v>5</v>
      </c>
      <c r="AY2" s="7" t="s">
        <v>2</v>
      </c>
      <c r="AZ2" s="7" t="s">
        <v>3</v>
      </c>
      <c r="BA2" s="7" t="s">
        <v>4</v>
      </c>
      <c r="BB2" s="7" t="s">
        <v>5</v>
      </c>
      <c r="BF2" s="7" t="s">
        <v>2</v>
      </c>
      <c r="BG2" s="7" t="s">
        <v>3</v>
      </c>
      <c r="BH2" s="7" t="s">
        <v>4</v>
      </c>
      <c r="BI2" s="7" t="s">
        <v>5</v>
      </c>
      <c r="BM2" s="7" t="s">
        <v>2</v>
      </c>
      <c r="BN2" s="7" t="s">
        <v>3</v>
      </c>
      <c r="BO2" s="7" t="s">
        <v>4</v>
      </c>
      <c r="BP2" s="7" t="s">
        <v>5</v>
      </c>
      <c r="BT2" s="7" t="s">
        <v>2</v>
      </c>
      <c r="BU2" s="7" t="s">
        <v>3</v>
      </c>
      <c r="BV2" s="7" t="s">
        <v>4</v>
      </c>
      <c r="BW2" s="7"/>
      <c r="BY2" s="7" t="s">
        <v>2</v>
      </c>
      <c r="BZ2" s="7" t="s">
        <v>3</v>
      </c>
      <c r="CA2" s="7" t="s">
        <v>4</v>
      </c>
      <c r="CC2" s="7" t="s">
        <v>57</v>
      </c>
      <c r="CD2" s="37" t="s">
        <v>44</v>
      </c>
      <c r="CE2" s="29" t="s">
        <v>3</v>
      </c>
      <c r="CF2" s="29" t="s">
        <v>58</v>
      </c>
      <c r="CG2" s="21" t="s">
        <v>41</v>
      </c>
      <c r="CH2" s="43"/>
      <c r="CJ2" s="7" t="s">
        <v>2</v>
      </c>
      <c r="CK2" s="7" t="s">
        <v>3</v>
      </c>
      <c r="CL2" s="7" t="s">
        <v>4</v>
      </c>
      <c r="CM2" s="29" t="s">
        <v>48</v>
      </c>
      <c r="CN2" s="42" t="s">
        <v>52</v>
      </c>
      <c r="CO2" s="29"/>
      <c r="CP2" s="28" t="s">
        <v>46</v>
      </c>
      <c r="CQ2" s="29" t="s">
        <v>3</v>
      </c>
      <c r="CR2" s="21" t="s">
        <v>41</v>
      </c>
      <c r="CX2" s="7" t="s">
        <v>2</v>
      </c>
      <c r="CY2" s="7" t="s">
        <v>3</v>
      </c>
      <c r="CZ2" s="7" t="s">
        <v>4</v>
      </c>
      <c r="DA2" s="7" t="s">
        <v>61</v>
      </c>
      <c r="DD2" s="7" t="s">
        <v>2</v>
      </c>
      <c r="DE2" s="7" t="s">
        <v>3</v>
      </c>
      <c r="DF2" s="7" t="s">
        <v>4</v>
      </c>
    </row>
    <row r="3" spans="1:111" ht="15" x14ac:dyDescent="0.25">
      <c r="A3" t="s">
        <v>53</v>
      </c>
      <c r="C3" s="1">
        <f>125.15+125.15*44.95%</f>
        <v>181.40492500000002</v>
      </c>
      <c r="D3">
        <v>73</v>
      </c>
      <c r="E3" s="1">
        <f>C3*D3</f>
        <v>13242.559525000001</v>
      </c>
      <c r="F3" s="1">
        <f>181.4*D3</f>
        <v>13242.2</v>
      </c>
      <c r="H3" s="1">
        <f>125.15+125.15*44.95%</f>
        <v>181.40492500000002</v>
      </c>
      <c r="I3" s="1">
        <v>62</v>
      </c>
      <c r="J3" s="1">
        <f>H3*I3</f>
        <v>11247.105350000002</v>
      </c>
      <c r="K3" s="1">
        <f>181.4*I3</f>
        <v>11246.800000000001</v>
      </c>
      <c r="M3" s="1">
        <f>125.15+125.15*44.95%</f>
        <v>181.40492500000002</v>
      </c>
      <c r="N3" s="1">
        <v>85</v>
      </c>
      <c r="O3" s="1">
        <f>M3*N3</f>
        <v>15419.418625000002</v>
      </c>
      <c r="P3" s="1">
        <f>181.4*N3</f>
        <v>15419</v>
      </c>
      <c r="Q3" s="1"/>
      <c r="T3" s="1">
        <f>125.15+125.15*44.95%</f>
        <v>181.40492500000002</v>
      </c>
      <c r="V3">
        <v>78</v>
      </c>
      <c r="W3" s="1">
        <f>T3*V3</f>
        <v>14149.584150000002</v>
      </c>
      <c r="X3" s="1">
        <f>181.4*V3</f>
        <v>14149.2</v>
      </c>
      <c r="AC3" s="1">
        <f>125.15+125.15*44.95%</f>
        <v>181.40492500000002</v>
      </c>
      <c r="AD3">
        <v>79</v>
      </c>
      <c r="AE3" s="1">
        <f>AC3*AD3</f>
        <v>14330.989075000001</v>
      </c>
      <c r="AF3" s="1">
        <f>181.4*AD3</f>
        <v>14330.6</v>
      </c>
      <c r="AI3" s="1">
        <f>125.29+125.29*44.95%</f>
        <v>181.607855</v>
      </c>
      <c r="AJ3">
        <v>82</v>
      </c>
      <c r="AK3" s="1">
        <f>AI3*AJ3</f>
        <v>14891.84411</v>
      </c>
      <c r="AL3" s="1">
        <f>181.61*AJ3</f>
        <v>14892.02</v>
      </c>
      <c r="AX3" s="1"/>
      <c r="BA3" s="1"/>
      <c r="BH3" s="1">
        <f>+BP3+BV3+CA3</f>
        <v>26500.760000000002</v>
      </c>
      <c r="BL3" s="1">
        <f>126.8+126.8*46.15%</f>
        <v>185.31819999999999</v>
      </c>
      <c r="BN3">
        <v>56</v>
      </c>
      <c r="BO3" s="1">
        <f>BL3*BN3</f>
        <v>10377.8192</v>
      </c>
      <c r="BP3" s="1">
        <f>185.32*BN3</f>
        <v>10377.92</v>
      </c>
      <c r="BS3" s="1">
        <f>ROUND(126.8+126.8*46.15%,2)</f>
        <v>185.32</v>
      </c>
      <c r="BU3">
        <v>87</v>
      </c>
      <c r="BV3" s="1">
        <f>BS3*BU3</f>
        <v>16122.84</v>
      </c>
      <c r="BZ3" s="38">
        <v>75</v>
      </c>
      <c r="CA3" s="1">
        <f>BX3*BZ3</f>
        <v>0</v>
      </c>
      <c r="CC3">
        <v>200.47</v>
      </c>
      <c r="CD3" s="27">
        <v>195.33</v>
      </c>
      <c r="CE3" s="9">
        <v>75</v>
      </c>
      <c r="CF3" s="9">
        <f>CC3*CE3</f>
        <v>15035.25</v>
      </c>
      <c r="CG3" s="31">
        <f>ROUND(CD3*CE3,2)</f>
        <v>14649.75</v>
      </c>
      <c r="CH3" s="44"/>
      <c r="CI3" s="1">
        <f>+CD3</f>
        <v>195.33</v>
      </c>
      <c r="CK3" s="34">
        <v>73</v>
      </c>
      <c r="CL3" s="12">
        <f>ROUND(CI3*CK3,2)</f>
        <v>14259.09</v>
      </c>
      <c r="CM3" s="17">
        <f>+CG3</f>
        <v>14649.75</v>
      </c>
      <c r="CN3" s="17"/>
      <c r="CO3" s="17"/>
      <c r="CP3" s="27">
        <f>ROUND(137.17+137.17*46.15%,2)-CI3</f>
        <v>5.1399999999999864</v>
      </c>
      <c r="CQ3" s="9">
        <f>75+73</f>
        <v>148</v>
      </c>
      <c r="CR3" s="31">
        <f>+CP3*CQ3</f>
        <v>760.71999999999798</v>
      </c>
      <c r="CW3" s="1">
        <v>200.47</v>
      </c>
      <c r="CY3" s="55">
        <v>74</v>
      </c>
      <c r="CZ3" s="16">
        <f>ROUND(CW3*CY3,2)</f>
        <v>14834.78</v>
      </c>
      <c r="DA3" s="17">
        <f>+CR3</f>
        <v>760.71999999999798</v>
      </c>
      <c r="DC3" s="1">
        <v>200.47</v>
      </c>
      <c r="DD3" s="12"/>
      <c r="DE3" s="55">
        <v>67</v>
      </c>
      <c r="DF3" s="16">
        <f>ROUND(DC3*DE3,2)</f>
        <v>13431.49</v>
      </c>
    </row>
    <row r="4" spans="1:111" ht="15" x14ac:dyDescent="0.25">
      <c r="A4" t="s">
        <v>54</v>
      </c>
      <c r="C4" s="1">
        <f>90.86+90.86*44.95%</f>
        <v>131.70157</v>
      </c>
      <c r="D4">
        <v>148</v>
      </c>
      <c r="E4" s="1">
        <f t="shared" ref="E4:E9" si="0">C4*D4</f>
        <v>19491.83236</v>
      </c>
      <c r="F4" s="1">
        <f>131.7*D4</f>
        <v>19491.599999999999</v>
      </c>
      <c r="H4" s="1">
        <f>94.63+94.63*44.95%</f>
        <v>137.16618499999998</v>
      </c>
      <c r="I4" s="1">
        <v>156</v>
      </c>
      <c r="J4" s="1">
        <f t="shared" ref="J4:J9" si="1">H4*I4</f>
        <v>21397.924859999999</v>
      </c>
      <c r="K4" s="1">
        <f>137.17*I4</f>
        <v>21398.519999999997</v>
      </c>
      <c r="M4" s="1">
        <f>94.63+94.63*44.95%</f>
        <v>137.16618499999998</v>
      </c>
      <c r="N4" s="1">
        <v>136</v>
      </c>
      <c r="O4" s="1">
        <f>M4*N4</f>
        <v>18654.601159999998</v>
      </c>
      <c r="P4" s="1">
        <f>137.17*N4</f>
        <v>18655.12</v>
      </c>
      <c r="Q4" s="1"/>
      <c r="T4" s="1">
        <f>94.63+94.63*44.95%</f>
        <v>137.16618499999998</v>
      </c>
      <c r="V4">
        <v>154</v>
      </c>
      <c r="W4" s="1">
        <f t="shared" ref="W4:W9" si="2">T4*V4</f>
        <v>21123.592489999999</v>
      </c>
      <c r="X4" s="1">
        <f>137.17*V4</f>
        <v>21124.179999999997</v>
      </c>
      <c r="AC4" s="1">
        <f>94.63+94.63*44.95%</f>
        <v>137.16618499999998</v>
      </c>
      <c r="AD4">
        <v>157</v>
      </c>
      <c r="AE4" s="1">
        <f t="shared" ref="AE4:AE9" si="3">AC4*AD4</f>
        <v>21535.091044999997</v>
      </c>
      <c r="AF4" s="1">
        <f>137.17*AD4</f>
        <v>21535.69</v>
      </c>
      <c r="AG4" s="1"/>
      <c r="AI4" s="1">
        <f>94.62+94.62*44.95%</f>
        <v>137.15169</v>
      </c>
      <c r="AJ4">
        <v>170</v>
      </c>
      <c r="AK4" s="1">
        <f t="shared" ref="AK4:AK10" si="4">AI4*AJ4</f>
        <v>23315.7873</v>
      </c>
      <c r="AL4" s="1">
        <f>137.15*AJ4</f>
        <v>23315.5</v>
      </c>
      <c r="AX4" s="1"/>
      <c r="BA4" s="1"/>
      <c r="BH4" s="1">
        <f t="shared" ref="BH4:BH10" si="5">+BP4+BV4+CA4</f>
        <v>64562.1</v>
      </c>
      <c r="BL4" s="1">
        <f>95.93+95.93*46.15%</f>
        <v>140.201695</v>
      </c>
      <c r="BN4">
        <v>156.5</v>
      </c>
      <c r="BO4" s="1">
        <f t="shared" ref="BO4" si="6">BL4*BN4</f>
        <v>21941.565267500002</v>
      </c>
      <c r="BP4" s="1">
        <f>140.2*BN4</f>
        <v>21941.3</v>
      </c>
      <c r="BS4" s="1">
        <f>ROUND(95.93+95.93*46.15%,2)</f>
        <v>140.19999999999999</v>
      </c>
      <c r="BU4">
        <v>136</v>
      </c>
      <c r="BV4" s="1">
        <f t="shared" ref="BV4:BV11" si="7">BS4*BU4</f>
        <v>19067.199999999997</v>
      </c>
      <c r="BX4" s="1">
        <f>ROUND(95.93+95.93*46.15%,2)</f>
        <v>140.19999999999999</v>
      </c>
      <c r="BZ4">
        <v>168</v>
      </c>
      <c r="CA4" s="1">
        <f t="shared" ref="CA4" si="8">BX4*BZ4</f>
        <v>23553.599999999999</v>
      </c>
      <c r="CD4" s="15"/>
      <c r="CE4" s="9"/>
      <c r="CF4" s="9"/>
      <c r="CG4" s="32"/>
      <c r="CH4" s="45"/>
      <c r="CI4" s="1">
        <f>ROUND(95.93+95.93*46.15%,2)</f>
        <v>140.19999999999999</v>
      </c>
      <c r="CK4" s="34">
        <v>128</v>
      </c>
      <c r="CL4" s="12">
        <f>ROUND(CI4*CK4,2)</f>
        <v>17945.599999999999</v>
      </c>
      <c r="CP4" s="15"/>
      <c r="CQ4" s="9"/>
      <c r="CR4" s="32"/>
      <c r="CW4" s="1">
        <v>140.19999999999999</v>
      </c>
      <c r="CY4" s="55">
        <v>142</v>
      </c>
      <c r="CZ4" s="16">
        <f>ROUND(CW4*CY4,2)</f>
        <v>19908.400000000001</v>
      </c>
      <c r="DC4" s="1">
        <v>140.19999999999999</v>
      </c>
      <c r="DD4" s="12"/>
      <c r="DE4" s="55">
        <v>141</v>
      </c>
      <c r="DF4" s="16">
        <f>ROUND(DC4*DE4,2)</f>
        <v>19768.2</v>
      </c>
    </row>
    <row r="5" spans="1:111" ht="15" x14ac:dyDescent="0.25">
      <c r="A5" t="s">
        <v>0</v>
      </c>
      <c r="C5" s="1">
        <f>113.95+113.95*44.95%</f>
        <v>165.170525</v>
      </c>
      <c r="D5">
        <v>1.5</v>
      </c>
      <c r="E5" s="1">
        <f t="shared" si="0"/>
        <v>247.7557875</v>
      </c>
      <c r="F5" s="1">
        <f>165.17*D5</f>
        <v>247.755</v>
      </c>
      <c r="H5" s="1">
        <f>113.95+113.95*44.95%</f>
        <v>165.170525</v>
      </c>
      <c r="I5" s="1">
        <v>2.5</v>
      </c>
      <c r="J5" s="1">
        <f t="shared" si="1"/>
        <v>412.92631249999999</v>
      </c>
      <c r="K5" s="1">
        <f>165.17*I5</f>
        <v>412.92499999999995</v>
      </c>
      <c r="M5" s="1">
        <f>113.95+113.95*44.95%</f>
        <v>165.170525</v>
      </c>
      <c r="N5" s="1">
        <v>1.5</v>
      </c>
      <c r="O5" s="1">
        <f>M5*N5</f>
        <v>247.7557875</v>
      </c>
      <c r="P5" s="1">
        <f>165.17*N5</f>
        <v>247.755</v>
      </c>
      <c r="Q5" s="1"/>
      <c r="T5" s="1"/>
      <c r="W5" s="1"/>
      <c r="X5" s="1"/>
      <c r="AC5" s="1"/>
      <c r="AE5" s="1">
        <f t="shared" si="3"/>
        <v>0</v>
      </c>
      <c r="AF5" s="1"/>
      <c r="AI5" s="1"/>
      <c r="AK5" s="1"/>
      <c r="AL5" s="1"/>
      <c r="AX5" s="1"/>
      <c r="BA5" s="1"/>
      <c r="BH5" s="1">
        <f t="shared" si="5"/>
        <v>0</v>
      </c>
      <c r="BL5" s="1"/>
      <c r="BO5" s="1"/>
      <c r="BP5" s="1"/>
      <c r="BS5" s="1"/>
      <c r="BV5" s="1"/>
      <c r="BX5" s="1"/>
      <c r="CA5" s="1"/>
      <c r="CD5" s="15"/>
      <c r="CE5" s="9"/>
      <c r="CF5" s="9"/>
      <c r="CG5" s="32"/>
      <c r="CH5" s="45"/>
      <c r="CI5" s="1"/>
      <c r="CK5" s="34"/>
      <c r="CL5" s="12"/>
      <c r="CP5" s="15"/>
      <c r="CQ5" s="9"/>
      <c r="CR5" s="32"/>
      <c r="CW5" s="1"/>
      <c r="CY5" s="55"/>
      <c r="CZ5" s="16"/>
      <c r="DC5" s="1"/>
      <c r="DD5" s="12"/>
      <c r="DE5" s="55"/>
      <c r="DF5" s="16"/>
    </row>
    <row r="6" spans="1:111" ht="15" x14ac:dyDescent="0.25">
      <c r="A6" t="s">
        <v>55</v>
      </c>
      <c r="C6" s="1">
        <f>78.21+78.21*44.95%</f>
        <v>113.36539499999999</v>
      </c>
      <c r="D6">
        <v>9</v>
      </c>
      <c r="E6" s="1">
        <f t="shared" si="0"/>
        <v>1020.288555</v>
      </c>
      <c r="F6" s="1">
        <f>113.37*D6</f>
        <v>1020.33</v>
      </c>
      <c r="H6" s="1">
        <f>78.21+78.21*44.95%</f>
        <v>113.36539499999999</v>
      </c>
      <c r="I6" s="1">
        <v>13</v>
      </c>
      <c r="J6" s="1">
        <f t="shared" si="1"/>
        <v>1473.750135</v>
      </c>
      <c r="K6" s="1">
        <f>113.37*I6</f>
        <v>1473.81</v>
      </c>
      <c r="M6" s="1">
        <f>78.21+78.21*44.95%</f>
        <v>113.36539499999999</v>
      </c>
      <c r="N6" s="1">
        <v>13</v>
      </c>
      <c r="O6" s="1">
        <f>M6*N6</f>
        <v>1473.750135</v>
      </c>
      <c r="P6" s="1">
        <f>113.37*N6</f>
        <v>1473.81</v>
      </c>
      <c r="Q6" s="1"/>
      <c r="T6" s="1">
        <f>78.21+78.21*44.95%</f>
        <v>113.36539499999999</v>
      </c>
      <c r="V6">
        <v>14</v>
      </c>
      <c r="W6" s="1">
        <f t="shared" si="2"/>
        <v>1587.1155299999998</v>
      </c>
      <c r="X6" s="1">
        <f>113.37*V6</f>
        <v>1587.18</v>
      </c>
      <c r="AC6" s="1">
        <f>78.21+78.21*44.95%</f>
        <v>113.36539499999999</v>
      </c>
      <c r="AD6">
        <v>14</v>
      </c>
      <c r="AE6" s="1">
        <f t="shared" si="3"/>
        <v>1587.1155299999998</v>
      </c>
      <c r="AF6" s="1">
        <f>113.37*AD6</f>
        <v>1587.18</v>
      </c>
      <c r="AI6" s="1">
        <f>78.37+78.37*44.95%</f>
        <v>113.59731500000001</v>
      </c>
      <c r="AJ6">
        <v>12</v>
      </c>
      <c r="AK6" s="1">
        <f t="shared" si="4"/>
        <v>1363.1677800000002</v>
      </c>
      <c r="AL6" s="1">
        <f>113.6*AJ6</f>
        <v>1363.1999999999998</v>
      </c>
      <c r="AX6" s="1"/>
      <c r="BA6" s="1"/>
      <c r="BH6" s="1">
        <f t="shared" si="5"/>
        <v>3726</v>
      </c>
      <c r="BL6" s="1">
        <f>84.98+84.98*46.15%</f>
        <v>124.19827000000001</v>
      </c>
      <c r="BN6">
        <v>10</v>
      </c>
      <c r="BO6" s="1">
        <f t="shared" ref="BO6:BO8" si="9">BL6*BN6</f>
        <v>1241.9827</v>
      </c>
      <c r="BP6" s="1">
        <f>124.2*BN6</f>
        <v>1242</v>
      </c>
      <c r="BS6" s="1">
        <f>ROUND(84.98+84.98*46.15%,2)</f>
        <v>124.2</v>
      </c>
      <c r="BU6">
        <v>10</v>
      </c>
      <c r="BV6" s="1">
        <f t="shared" si="7"/>
        <v>1242</v>
      </c>
      <c r="BX6" s="1">
        <f>ROUND(84.98+84.98*46.15%,2)</f>
        <v>124.2</v>
      </c>
      <c r="BZ6">
        <v>10</v>
      </c>
      <c r="CA6" s="1">
        <f t="shared" ref="CA6:CA10" si="10">BX6*BZ6</f>
        <v>1242</v>
      </c>
      <c r="CD6" s="15"/>
      <c r="CE6" s="9"/>
      <c r="CF6" s="9"/>
      <c r="CG6" s="32"/>
      <c r="CH6" s="45"/>
      <c r="CI6" s="1">
        <f>ROUND(84.98+84.98*46.15%,2)</f>
        <v>124.2</v>
      </c>
      <c r="CK6" s="34">
        <v>5</v>
      </c>
      <c r="CL6" s="12">
        <f t="shared" ref="CL6:CL12" si="11">ROUND(CI6*CK6,2)</f>
        <v>621</v>
      </c>
      <c r="CP6" s="15"/>
      <c r="CQ6" s="9"/>
      <c r="CR6" s="32"/>
      <c r="CW6" s="1">
        <v>124.2</v>
      </c>
      <c r="CY6" s="55">
        <v>5</v>
      </c>
      <c r="CZ6" s="16">
        <f t="shared" ref="CZ6" si="12">ROUND(CW6*CY6,2)</f>
        <v>621</v>
      </c>
      <c r="DC6" s="1">
        <v>124.2</v>
      </c>
      <c r="DD6" s="12"/>
      <c r="DE6" s="55">
        <v>4.5</v>
      </c>
      <c r="DF6" s="16">
        <f t="shared" ref="DF6" si="13">ROUND(DC6*DE6,2)</f>
        <v>558.9</v>
      </c>
    </row>
    <row r="7" spans="1:111" ht="15" x14ac:dyDescent="0.25">
      <c r="A7" t="s">
        <v>56</v>
      </c>
      <c r="C7" s="1">
        <f>44.97+44.97*44.95%</f>
        <v>65.184015000000002</v>
      </c>
      <c r="D7">
        <v>2.5</v>
      </c>
      <c r="E7" s="1">
        <f t="shared" si="0"/>
        <v>162.9600375</v>
      </c>
      <c r="F7" s="1">
        <f>65.18*D7</f>
        <v>162.95000000000002</v>
      </c>
      <c r="H7" s="1"/>
      <c r="I7" s="1"/>
      <c r="J7" s="1"/>
      <c r="K7" s="1"/>
      <c r="M7" s="1"/>
      <c r="N7" s="1"/>
      <c r="O7" s="1"/>
      <c r="P7" s="1"/>
      <c r="Q7" s="1"/>
      <c r="T7" s="1"/>
      <c r="W7" s="1"/>
      <c r="X7" s="1"/>
      <c r="AC7" s="1">
        <f>60.85+60.85*44.95%</f>
        <v>88.202075000000008</v>
      </c>
      <c r="AD7">
        <v>2</v>
      </c>
      <c r="AE7" s="1">
        <f t="shared" si="3"/>
        <v>176.40415000000002</v>
      </c>
      <c r="AF7" s="1">
        <f>88.2*AD7</f>
        <v>176.4</v>
      </c>
      <c r="AI7" s="1">
        <f>62.18+62.18*44.95%</f>
        <v>90.129909999999995</v>
      </c>
      <c r="AJ7">
        <v>5</v>
      </c>
      <c r="AK7" s="1">
        <f t="shared" si="4"/>
        <v>450.64954999999998</v>
      </c>
      <c r="AL7" s="1">
        <f>90.13*AJ7</f>
        <v>450.65</v>
      </c>
      <c r="AX7" s="1"/>
      <c r="BA7" s="1"/>
      <c r="BH7" s="1">
        <f t="shared" si="5"/>
        <v>550.98</v>
      </c>
      <c r="BL7" s="1">
        <f>62.83+62.83*46.15%</f>
        <v>91.826044999999993</v>
      </c>
      <c r="BN7">
        <v>2</v>
      </c>
      <c r="BO7" s="1">
        <f t="shared" si="9"/>
        <v>183.65208999999999</v>
      </c>
      <c r="BP7" s="1">
        <f>91.83*BN7</f>
        <v>183.66</v>
      </c>
      <c r="BS7" s="1">
        <f>ROUND(62.83+62.83*46.15%,2)</f>
        <v>91.83</v>
      </c>
      <c r="BU7">
        <v>2</v>
      </c>
      <c r="BV7" s="1">
        <f t="shared" si="7"/>
        <v>183.66</v>
      </c>
      <c r="BX7" s="1">
        <f>ROUND(62.83+62.83*46.15%,2)</f>
        <v>91.83</v>
      </c>
      <c r="BZ7">
        <v>2</v>
      </c>
      <c r="CA7" s="1">
        <f t="shared" si="10"/>
        <v>183.66</v>
      </c>
      <c r="CD7" s="15"/>
      <c r="CE7" s="9"/>
      <c r="CF7" s="9"/>
      <c r="CG7" s="32"/>
      <c r="CH7" s="45"/>
      <c r="CI7" s="1">
        <f>ROUND(62.83+62.83*46.15%,2)</f>
        <v>91.83</v>
      </c>
      <c r="CK7" s="34">
        <v>2</v>
      </c>
      <c r="CL7" s="12">
        <f>ROUND(CI7*CK7,2)</f>
        <v>183.66</v>
      </c>
      <c r="CP7" s="15"/>
      <c r="CQ7" s="9"/>
      <c r="CR7" s="32"/>
      <c r="CW7" s="1">
        <v>91.83</v>
      </c>
      <c r="CY7" s="55">
        <v>2</v>
      </c>
      <c r="CZ7" s="16">
        <f>ROUND(CW7*CY7,2)</f>
        <v>183.66</v>
      </c>
      <c r="DC7" s="1">
        <v>91.83</v>
      </c>
      <c r="DD7" s="12"/>
      <c r="DE7" s="55">
        <v>2</v>
      </c>
      <c r="DF7" s="16">
        <f>ROUND(DC7*DE7,2)</f>
        <v>183.66</v>
      </c>
    </row>
    <row r="8" spans="1:111" ht="15" x14ac:dyDescent="0.25">
      <c r="A8" t="s">
        <v>1</v>
      </c>
      <c r="C8" s="1">
        <f>52.79+52.79*44.95%</f>
        <v>76.519104999999996</v>
      </c>
      <c r="D8">
        <v>25</v>
      </c>
      <c r="E8" s="1">
        <f t="shared" si="0"/>
        <v>1912.977625</v>
      </c>
      <c r="F8" s="1">
        <f>76.52*D8</f>
        <v>1913</v>
      </c>
      <c r="H8" s="1">
        <f>52.79+52.79*44.95%</f>
        <v>76.519104999999996</v>
      </c>
      <c r="I8" s="1">
        <v>8.75</v>
      </c>
      <c r="J8" s="1">
        <f t="shared" si="1"/>
        <v>669.54216874999997</v>
      </c>
      <c r="K8" s="1">
        <f>76.52*I8</f>
        <v>669.55</v>
      </c>
      <c r="M8" s="1">
        <f>52.79+52.79*44.95%</f>
        <v>76.519104999999996</v>
      </c>
      <c r="N8" s="1">
        <v>35.25</v>
      </c>
      <c r="O8" s="1">
        <f t="shared" ref="O8:O9" si="14">M8*N8</f>
        <v>2697.2984512499997</v>
      </c>
      <c r="P8" s="1">
        <f>76.52*N8</f>
        <v>2697.33</v>
      </c>
      <c r="Q8" s="1"/>
      <c r="T8" s="1">
        <f>52.79+52.79*44.95%</f>
        <v>76.519104999999996</v>
      </c>
      <c r="V8">
        <v>19.5</v>
      </c>
      <c r="W8" s="1">
        <f t="shared" si="2"/>
        <v>1492.1225474999999</v>
      </c>
      <c r="X8" s="1">
        <f>76.52*V8</f>
        <v>1492.1399999999999</v>
      </c>
      <c r="AC8" s="1">
        <f>52.79+52.79*44.95%</f>
        <v>76.519104999999996</v>
      </c>
      <c r="AD8">
        <v>35.5</v>
      </c>
      <c r="AE8" s="1">
        <f t="shared" si="3"/>
        <v>2716.4282275</v>
      </c>
      <c r="AF8" s="1">
        <f>76.52*AD8</f>
        <v>2716.46</v>
      </c>
      <c r="AI8" s="1">
        <f>53.26+53.26*44.95%</f>
        <v>77.200369999999992</v>
      </c>
      <c r="AJ8">
        <v>18.5</v>
      </c>
      <c r="AK8" s="1">
        <f t="shared" si="4"/>
        <v>1428.2068449999999</v>
      </c>
      <c r="AL8" s="1">
        <f>77.2*AJ8</f>
        <v>1428.2</v>
      </c>
      <c r="AX8" s="1"/>
      <c r="BA8" s="1"/>
      <c r="BH8" s="1">
        <f t="shared" si="5"/>
        <v>7153.1400000000012</v>
      </c>
      <c r="BL8" s="1">
        <f>56.26+56.26*46.15%</f>
        <v>82.223989999999986</v>
      </c>
      <c r="BN8">
        <v>34.5</v>
      </c>
      <c r="BO8" s="1">
        <f t="shared" si="9"/>
        <v>2836.7276549999997</v>
      </c>
      <c r="BP8" s="1">
        <f>82.22*BN8</f>
        <v>2836.59</v>
      </c>
      <c r="BS8" s="1">
        <f>ROUND(56.26+56.26*46.15%,2)</f>
        <v>82.22</v>
      </c>
      <c r="BU8">
        <v>25.5</v>
      </c>
      <c r="BV8" s="1">
        <f t="shared" si="7"/>
        <v>2096.61</v>
      </c>
      <c r="BX8" s="1">
        <f>ROUND(56.26+56.26*46.15%,2)</f>
        <v>82.22</v>
      </c>
      <c r="BZ8">
        <v>27</v>
      </c>
      <c r="CA8" s="1">
        <f t="shared" si="10"/>
        <v>2219.94</v>
      </c>
      <c r="CD8" s="15"/>
      <c r="CE8" s="9"/>
      <c r="CF8" s="9"/>
      <c r="CG8" s="32"/>
      <c r="CH8" s="45"/>
      <c r="CI8" s="1">
        <f>ROUND(56.26+56.26*46.15%,2)</f>
        <v>82.22</v>
      </c>
      <c r="CK8" s="34">
        <v>32</v>
      </c>
      <c r="CL8" s="12">
        <f t="shared" si="11"/>
        <v>2631.04</v>
      </c>
      <c r="CP8" s="15"/>
      <c r="CQ8" s="9"/>
      <c r="CR8" s="32"/>
      <c r="CW8" s="1">
        <v>82.22</v>
      </c>
      <c r="CY8" s="55">
        <v>34.5</v>
      </c>
      <c r="CZ8" s="16">
        <f t="shared" ref="CZ8:CZ12" si="15">ROUND(CW8*CY8,2)</f>
        <v>2836.59</v>
      </c>
      <c r="DC8" s="1">
        <v>84.09</v>
      </c>
      <c r="DD8" s="12"/>
      <c r="DE8" s="55">
        <v>31</v>
      </c>
      <c r="DF8" s="16">
        <f t="shared" ref="DF8:DF9" si="16">ROUND(DC8*DE8,2)</f>
        <v>2606.79</v>
      </c>
    </row>
    <row r="9" spans="1:111" ht="15" x14ac:dyDescent="0.25">
      <c r="A9" t="s">
        <v>25</v>
      </c>
      <c r="C9" s="1">
        <f>171.39+171.39*44.95%</f>
        <v>248.42980499999999</v>
      </c>
      <c r="D9">
        <v>3</v>
      </c>
      <c r="E9" s="1">
        <f t="shared" si="0"/>
        <v>745.28941499999996</v>
      </c>
      <c r="F9" s="1">
        <f>248.43*D9</f>
        <v>745.29</v>
      </c>
      <c r="H9" s="1">
        <f>170.8+170.8*44.95%</f>
        <v>247.57460000000003</v>
      </c>
      <c r="I9" s="1">
        <v>1</v>
      </c>
      <c r="J9" s="1">
        <f t="shared" si="1"/>
        <v>247.57460000000003</v>
      </c>
      <c r="K9" s="1">
        <f>247.57*I9</f>
        <v>247.57</v>
      </c>
      <c r="M9" s="1">
        <f>170.8+170.8*44.95%</f>
        <v>247.57460000000003</v>
      </c>
      <c r="N9" s="1">
        <v>4.5</v>
      </c>
      <c r="O9" s="1">
        <f t="shared" si="14"/>
        <v>1114.0857000000001</v>
      </c>
      <c r="P9" s="6">
        <f>247.57*N9</f>
        <v>1114.0650000000001</v>
      </c>
      <c r="Q9" s="1"/>
      <c r="T9" s="1">
        <f>170.8+170.8*44.95%</f>
        <v>247.57460000000003</v>
      </c>
      <c r="V9">
        <v>1</v>
      </c>
      <c r="W9" s="6">
        <f t="shared" si="2"/>
        <v>247.57460000000003</v>
      </c>
      <c r="X9" s="6">
        <f>247.57*V9</f>
        <v>247.57</v>
      </c>
      <c r="AC9" s="1">
        <f>170.8+170.8*44.95%</f>
        <v>247.57460000000003</v>
      </c>
      <c r="AD9" s="9">
        <v>3</v>
      </c>
      <c r="AE9" s="5">
        <f t="shared" si="3"/>
        <v>742.7238000000001</v>
      </c>
      <c r="AF9" s="5">
        <f>247.57*AD9</f>
        <v>742.71</v>
      </c>
      <c r="AI9" s="1"/>
      <c r="AK9" s="1"/>
      <c r="AL9" s="1"/>
      <c r="AX9" s="1"/>
      <c r="BA9" s="1"/>
      <c r="BH9" s="1">
        <f t="shared" si="5"/>
        <v>1383.085</v>
      </c>
      <c r="BL9" s="1"/>
      <c r="BO9" s="1"/>
      <c r="BP9" s="1"/>
      <c r="BS9" s="1">
        <f>ROUND(172.06+172.06*46.15%,2)</f>
        <v>251.47</v>
      </c>
      <c r="BU9">
        <v>3</v>
      </c>
      <c r="BV9" s="1">
        <f t="shared" si="7"/>
        <v>754.41</v>
      </c>
      <c r="BX9" s="1">
        <f>ROUND(172.06+172.06*46.15%,2)</f>
        <v>251.47</v>
      </c>
      <c r="BZ9">
        <v>2.5</v>
      </c>
      <c r="CA9" s="1">
        <f t="shared" si="10"/>
        <v>628.67499999999995</v>
      </c>
      <c r="CD9" s="27">
        <f>ROUND((184.33+184.33*46.15%)-$BX$9,2)</f>
        <v>17.93</v>
      </c>
      <c r="CE9" s="9">
        <f>ROUND($BU$9+$BZ$9,2)</f>
        <v>5.5</v>
      </c>
      <c r="CF9" s="9">
        <f>CD9*CE9</f>
        <v>98.614999999999995</v>
      </c>
      <c r="CG9" s="31">
        <f>ROUND(CD9*CE9,2)</f>
        <v>98.62</v>
      </c>
      <c r="CH9" s="44"/>
      <c r="CI9" s="1">
        <f>ROUND(184.33+184.33*46.15%,2)</f>
        <v>269.39999999999998</v>
      </c>
      <c r="CK9" s="34"/>
      <c r="CL9" s="12">
        <f t="shared" si="11"/>
        <v>0</v>
      </c>
      <c r="CM9" s="17">
        <f>+CG9</f>
        <v>98.62</v>
      </c>
      <c r="CN9" s="17"/>
      <c r="CO9" s="17"/>
      <c r="CP9" s="23"/>
      <c r="CQ9" s="9"/>
      <c r="CR9" s="31"/>
      <c r="CW9" s="1">
        <v>269.39999999999998</v>
      </c>
      <c r="CY9" s="55">
        <v>0</v>
      </c>
      <c r="CZ9" s="16">
        <f t="shared" si="15"/>
        <v>0</v>
      </c>
      <c r="DC9" s="1">
        <v>269.39999999999998</v>
      </c>
      <c r="DD9" s="12"/>
      <c r="DE9" s="55">
        <v>1.5</v>
      </c>
      <c r="DF9" s="16">
        <f t="shared" si="16"/>
        <v>404.1</v>
      </c>
    </row>
    <row r="10" spans="1:111" ht="15" x14ac:dyDescent="0.25">
      <c r="A10" t="s">
        <v>30</v>
      </c>
      <c r="C10" s="1"/>
      <c r="E10" s="1"/>
      <c r="F10" s="1"/>
      <c r="H10" s="1"/>
      <c r="I10" s="1"/>
      <c r="J10" s="1"/>
      <c r="K10" s="1"/>
      <c r="M10" s="1"/>
      <c r="N10" s="1"/>
      <c r="O10" s="1"/>
      <c r="P10" s="5"/>
      <c r="Q10" s="1"/>
      <c r="T10" s="1"/>
      <c r="W10" s="5"/>
      <c r="X10" s="5"/>
      <c r="AC10" s="1"/>
      <c r="AD10" s="8"/>
      <c r="AE10" s="6"/>
      <c r="AF10" s="6"/>
      <c r="AI10" s="1">
        <f>49.57+49.57*44.95%</f>
        <v>71.851714999999999</v>
      </c>
      <c r="AJ10" s="8">
        <v>3.5</v>
      </c>
      <c r="AK10" s="6">
        <f t="shared" si="4"/>
        <v>251.48100249999999</v>
      </c>
      <c r="AL10" s="6">
        <f>71.85*AJ10</f>
        <v>251.47499999999997</v>
      </c>
      <c r="AX10" s="1"/>
      <c r="BA10" s="1"/>
      <c r="BH10" s="1">
        <f t="shared" si="5"/>
        <v>513.17000000000007</v>
      </c>
      <c r="BL10" s="1">
        <f>50.16+50.16*46.15%</f>
        <v>73.308839999999989</v>
      </c>
      <c r="BN10">
        <v>5</v>
      </c>
      <c r="BO10" s="1">
        <f t="shared" ref="BO10:BO11" si="17">BL10*BN10</f>
        <v>366.54419999999993</v>
      </c>
      <c r="BP10" s="1">
        <f>73.31*BN10</f>
        <v>366.55</v>
      </c>
      <c r="BS10" s="1">
        <f>ROUND(50.16+50.16*46.15%,2)</f>
        <v>73.31</v>
      </c>
      <c r="BU10">
        <v>2</v>
      </c>
      <c r="BV10" s="1">
        <f t="shared" si="7"/>
        <v>146.62</v>
      </c>
      <c r="BX10" s="1"/>
      <c r="CA10" s="1">
        <f t="shared" si="10"/>
        <v>0</v>
      </c>
      <c r="CD10" s="15"/>
      <c r="CE10" s="9"/>
      <c r="CF10" s="9"/>
      <c r="CG10" s="33"/>
      <c r="CH10" s="46"/>
      <c r="CI10" s="1"/>
      <c r="CK10" s="34"/>
      <c r="CL10" s="12">
        <f t="shared" si="11"/>
        <v>0</v>
      </c>
      <c r="CP10" s="15"/>
      <c r="CQ10" s="9"/>
      <c r="CR10" s="33"/>
      <c r="CW10" s="1"/>
      <c r="CY10" s="55"/>
      <c r="CZ10" s="16"/>
      <c r="DC10" s="1"/>
      <c r="DD10" s="12"/>
      <c r="DE10" s="55"/>
      <c r="DF10" s="16"/>
    </row>
    <row r="11" spans="1:111" ht="15" x14ac:dyDescent="0.25">
      <c r="A11" t="s">
        <v>35</v>
      </c>
      <c r="C11" s="1"/>
      <c r="E11" s="1"/>
      <c r="F11" s="1"/>
      <c r="H11" s="1"/>
      <c r="I11" s="1"/>
      <c r="J11" s="1"/>
      <c r="K11" s="1"/>
      <c r="M11" s="1"/>
      <c r="N11" s="1"/>
      <c r="O11" s="1"/>
      <c r="P11" s="5"/>
      <c r="Q11" s="1"/>
      <c r="T11" s="1"/>
      <c r="W11" s="5"/>
      <c r="X11" s="5"/>
      <c r="AC11" s="1"/>
      <c r="AD11" s="9"/>
      <c r="AE11" s="5"/>
      <c r="AF11" s="5"/>
      <c r="AI11" s="1"/>
      <c r="AJ11" s="9"/>
      <c r="AK11" s="5"/>
      <c r="AL11" s="6"/>
      <c r="AX11" s="1"/>
      <c r="BA11" s="1"/>
      <c r="BH11" s="1">
        <f>+BP11+BV11+CA11</f>
        <v>165.32999999999998</v>
      </c>
      <c r="BL11" s="1">
        <f>150.83+150.83*46.15%</f>
        <v>220.43804500000002</v>
      </c>
      <c r="BN11">
        <v>0.75</v>
      </c>
      <c r="BO11" s="1">
        <f t="shared" si="17"/>
        <v>165.32853375000002</v>
      </c>
      <c r="BP11" s="1">
        <f>220.44*BN11</f>
        <v>165.32999999999998</v>
      </c>
      <c r="BU11" s="38">
        <v>1.5</v>
      </c>
      <c r="BV11" s="1">
        <f t="shared" si="7"/>
        <v>0</v>
      </c>
      <c r="BX11" s="11"/>
      <c r="BZ11" s="38">
        <v>0.75</v>
      </c>
      <c r="CA11" s="1">
        <f>BX11*BZ11</f>
        <v>0</v>
      </c>
      <c r="CC11">
        <v>235.99</v>
      </c>
      <c r="CD11" s="27">
        <v>234.79</v>
      </c>
      <c r="CE11" s="9">
        <f>1.5+0.75</f>
        <v>2.25</v>
      </c>
      <c r="CF11" s="9">
        <f>CC11*CE11</f>
        <v>530.97749999999996</v>
      </c>
      <c r="CG11" s="31">
        <f>ROUND(CD11*CE11,2)</f>
        <v>528.28</v>
      </c>
      <c r="CH11" s="44"/>
      <c r="CI11" s="11">
        <f>+CD11</f>
        <v>234.79</v>
      </c>
      <c r="CK11" s="34">
        <v>1</v>
      </c>
      <c r="CL11" s="12">
        <f t="shared" si="11"/>
        <v>234.79</v>
      </c>
      <c r="CM11" s="17">
        <f>+CG11</f>
        <v>528.28</v>
      </c>
      <c r="CN11" s="17"/>
      <c r="CO11" s="17"/>
      <c r="CP11" s="27">
        <f>ROUND(161.47+161.47*46.15%,2)-CI11</f>
        <v>1.2000000000000171</v>
      </c>
      <c r="CQ11" s="9">
        <f>1.5+0.75+1</f>
        <v>3.25</v>
      </c>
      <c r="CR11" s="31">
        <f>+CP11*CQ11</f>
        <v>3.9000000000000554</v>
      </c>
      <c r="CW11" s="11">
        <v>235.99</v>
      </c>
      <c r="CY11" s="55">
        <v>1</v>
      </c>
      <c r="CZ11" s="16">
        <f t="shared" si="15"/>
        <v>235.99</v>
      </c>
      <c r="DA11" s="17">
        <f>+CR11</f>
        <v>3.9000000000000554</v>
      </c>
      <c r="DC11" s="11">
        <v>235.99</v>
      </c>
      <c r="DD11" s="12"/>
      <c r="DE11" s="55"/>
      <c r="DF11" s="16">
        <f t="shared" ref="DF11:DF13" si="18">ROUND(DC11*DE11,2)</f>
        <v>0</v>
      </c>
    </row>
    <row r="12" spans="1:111" ht="15" x14ac:dyDescent="0.25">
      <c r="A12" t="s">
        <v>39</v>
      </c>
      <c r="C12" s="1"/>
      <c r="E12" s="1"/>
      <c r="F12" s="1"/>
      <c r="H12" s="1"/>
      <c r="I12" s="1"/>
      <c r="J12" s="1"/>
      <c r="K12" s="1"/>
      <c r="M12" s="1"/>
      <c r="N12" s="1"/>
      <c r="O12" s="1"/>
      <c r="P12" s="5"/>
      <c r="Q12" s="1"/>
      <c r="T12" s="1"/>
      <c r="W12" s="5"/>
      <c r="X12" s="5"/>
      <c r="AC12" s="1"/>
      <c r="AD12" s="9"/>
      <c r="AE12" s="5"/>
      <c r="AF12" s="5"/>
      <c r="AI12" s="1"/>
      <c r="AJ12" s="9"/>
      <c r="AK12" s="5"/>
      <c r="AL12" s="6"/>
      <c r="AX12" s="1"/>
      <c r="BA12" s="1"/>
      <c r="BH12" s="1"/>
      <c r="BL12" s="1"/>
      <c r="BO12" s="1"/>
      <c r="BP12" s="1"/>
      <c r="BU12" s="36"/>
      <c r="BV12" s="11"/>
      <c r="BW12" s="36"/>
      <c r="BX12" s="11"/>
      <c r="BY12" s="36"/>
      <c r="BZ12" s="36"/>
      <c r="CA12" s="1"/>
      <c r="CD12" s="23"/>
      <c r="CE12" s="9"/>
      <c r="CF12" s="9"/>
      <c r="CG12" s="19"/>
      <c r="CH12" s="47"/>
      <c r="CI12" s="11">
        <f>ROUND(52.5+52.5*46.15%,2)</f>
        <v>76.73</v>
      </c>
      <c r="CK12" s="34">
        <v>12</v>
      </c>
      <c r="CL12" s="12">
        <f t="shared" si="11"/>
        <v>920.76</v>
      </c>
      <c r="CP12" s="23"/>
      <c r="CQ12" s="9"/>
      <c r="CR12" s="19"/>
      <c r="CW12" s="11">
        <v>85.18</v>
      </c>
      <c r="CY12" s="55">
        <v>12</v>
      </c>
      <c r="CZ12" s="16">
        <f t="shared" si="15"/>
        <v>1022.16</v>
      </c>
      <c r="DC12" s="11">
        <v>85.18</v>
      </c>
      <c r="DD12" s="12"/>
      <c r="DE12" s="55">
        <v>12</v>
      </c>
      <c r="DF12" s="16">
        <f t="shared" si="18"/>
        <v>1022.16</v>
      </c>
    </row>
    <row r="13" spans="1:111" ht="15" x14ac:dyDescent="0.25">
      <c r="A13" t="s">
        <v>68</v>
      </c>
      <c r="C13" s="1"/>
      <c r="E13" s="1"/>
      <c r="F13" s="1"/>
      <c r="H13" s="1"/>
      <c r="I13" s="1"/>
      <c r="J13" s="1"/>
      <c r="K13" s="1"/>
      <c r="M13" s="1"/>
      <c r="N13" s="1"/>
      <c r="O13" s="1"/>
      <c r="P13" s="5"/>
      <c r="Q13" s="1"/>
      <c r="T13" s="1"/>
      <c r="W13" s="5"/>
      <c r="X13" s="5"/>
      <c r="AC13" s="1"/>
      <c r="AD13" s="9"/>
      <c r="AE13" s="5"/>
      <c r="AF13" s="5"/>
      <c r="AI13" s="1"/>
      <c r="AJ13" s="9"/>
      <c r="AK13" s="5"/>
      <c r="AL13" s="6"/>
      <c r="AX13" s="1"/>
      <c r="BA13" s="1"/>
      <c r="BH13" s="1"/>
      <c r="BL13" s="1"/>
      <c r="BO13" s="1"/>
      <c r="BP13" s="1"/>
      <c r="BU13" s="36"/>
      <c r="BV13" s="11"/>
      <c r="BW13" s="36"/>
      <c r="BX13" s="11"/>
      <c r="BY13" s="36"/>
      <c r="BZ13" s="36"/>
      <c r="CA13" s="1"/>
      <c r="CD13" s="23"/>
      <c r="CE13" s="9"/>
      <c r="CF13" s="9"/>
      <c r="CG13" s="19"/>
      <c r="CH13" s="47"/>
      <c r="CI13" s="11"/>
      <c r="CK13" s="34"/>
      <c r="CL13" s="12"/>
      <c r="CP13" s="23"/>
      <c r="CQ13" s="9"/>
      <c r="CR13" s="19"/>
      <c r="CW13" s="11"/>
      <c r="CY13" s="55"/>
      <c r="CZ13" s="16"/>
      <c r="DC13" s="11">
        <v>111.83</v>
      </c>
      <c r="DD13" s="12"/>
      <c r="DE13" s="55">
        <v>13.25</v>
      </c>
      <c r="DF13" s="16">
        <f t="shared" si="18"/>
        <v>1481.75</v>
      </c>
    </row>
    <row r="14" spans="1:111" ht="15" x14ac:dyDescent="0.25">
      <c r="H14" s="1"/>
      <c r="I14" s="1"/>
      <c r="J14" s="1"/>
      <c r="K14" s="1"/>
      <c r="M14" s="1"/>
      <c r="N14" s="1"/>
      <c r="O14" s="1"/>
      <c r="P14" s="1"/>
      <c r="Q14" s="1"/>
      <c r="W14" s="1">
        <f>SUM(W3:W9)</f>
        <v>38599.989317500011</v>
      </c>
      <c r="X14" s="1">
        <f>SUM(X3:X9)</f>
        <v>38600.269999999997</v>
      </c>
      <c r="AD14">
        <f>SUM(AD3:AD9)</f>
        <v>290.5</v>
      </c>
      <c r="AE14" s="1">
        <f t="shared" ref="AE14:AF14" si="19">SUM(AE3:AE9)</f>
        <v>41088.751827500004</v>
      </c>
      <c r="AF14" s="1">
        <f t="shared" si="19"/>
        <v>41089.040000000001</v>
      </c>
      <c r="AJ14">
        <f>SUM(AJ3:AJ10)</f>
        <v>291</v>
      </c>
      <c r="AK14" s="1">
        <f>SUM(AK3:AK10)</f>
        <v>41701.136587500005</v>
      </c>
      <c r="AL14" s="10">
        <f>SUM(AL3:AL10)</f>
        <v>41701.044999999998</v>
      </c>
      <c r="BA14" s="1"/>
      <c r="BB14" s="1"/>
      <c r="BN14">
        <f>SUM(BN3:BN11)</f>
        <v>264.75</v>
      </c>
      <c r="BO14" s="1">
        <f>SUM(BO3:BO11)</f>
        <v>37113.619646250001</v>
      </c>
      <c r="BU14" s="36">
        <f>SUM(BU3:BU11)</f>
        <v>267</v>
      </c>
      <c r="BV14" s="36"/>
      <c r="BW14" s="36"/>
      <c r="BX14" s="36"/>
      <c r="BY14" s="36"/>
      <c r="BZ14" s="36">
        <f>SUM(BZ3:BZ11)</f>
        <v>285.25</v>
      </c>
      <c r="CD14" s="15"/>
      <c r="CE14" s="9"/>
      <c r="CF14" s="8"/>
      <c r="CG14" s="25"/>
      <c r="CH14" s="9"/>
      <c r="CK14" s="8"/>
      <c r="CL14" s="40"/>
      <c r="CM14" s="8"/>
      <c r="CN14" s="8"/>
      <c r="CP14" s="15"/>
      <c r="CQ14" s="9"/>
      <c r="CR14" s="25"/>
      <c r="CY14" s="40"/>
      <c r="CZ14" s="54"/>
      <c r="DA14" s="8"/>
      <c r="DE14" s="40"/>
      <c r="DF14" s="54"/>
    </row>
    <row r="15" spans="1:111" ht="15" x14ac:dyDescent="0.25">
      <c r="A15" t="s">
        <v>6</v>
      </c>
      <c r="E15" s="1">
        <f>SUM(E3:E14)</f>
        <v>36823.663305000002</v>
      </c>
      <c r="F15" s="1">
        <f>SUM(F3:F14)</f>
        <v>36823.125</v>
      </c>
      <c r="H15" s="1"/>
      <c r="I15" s="1"/>
      <c r="J15" s="1">
        <f>SUM(J3:J14)</f>
        <v>35448.823426250005</v>
      </c>
      <c r="K15" s="1">
        <f>SUM(K3:K14)</f>
        <v>35449.175000000003</v>
      </c>
      <c r="M15" s="1"/>
      <c r="N15" s="1"/>
      <c r="O15" s="1"/>
      <c r="P15" s="1">
        <f>SUM(P3:P9)</f>
        <v>39607.079999999994</v>
      </c>
      <c r="Q15" s="1"/>
      <c r="Y15" s="1">
        <f>X3+X6+X4+X8+X9</f>
        <v>38600.269999999997</v>
      </c>
      <c r="AG15" s="1">
        <f>AF14</f>
        <v>41089.040000000001</v>
      </c>
      <c r="AH15" s="1"/>
      <c r="AL15" s="1">
        <f>AL3+AL4+AL6+AL8+AL7+AL10</f>
        <v>41701.044999999998</v>
      </c>
      <c r="BI15" s="1">
        <f>SUM(BH3:BH11)</f>
        <v>104554.565</v>
      </c>
      <c r="BP15" s="1">
        <f>SUM(BP3:BP11)</f>
        <v>37113.350000000006</v>
      </c>
      <c r="BQ15" s="1"/>
      <c r="BV15" s="1">
        <f>SUM(BV3:BV14)</f>
        <v>39613.340000000004</v>
      </c>
      <c r="CA15" s="1">
        <f>SUM(CA3:CA14)</f>
        <v>27827.874999999996</v>
      </c>
      <c r="CD15" s="15"/>
      <c r="CE15" s="9"/>
      <c r="CF15" s="5">
        <f>SUM(CF3:CF11)</f>
        <v>15664.842499999999</v>
      </c>
      <c r="CG15" s="26">
        <f>SUM(CG3:CG12)</f>
        <v>15276.650000000001</v>
      </c>
      <c r="CH15" s="48">
        <f>CF15-CG15</f>
        <v>388.19249999999738</v>
      </c>
      <c r="CL15" s="12">
        <f>SUM(CL3:CL14)</f>
        <v>36795.94000000001</v>
      </c>
      <c r="CM15" s="17">
        <f>SUM(CM3:CM14)</f>
        <v>15276.650000000001</v>
      </c>
      <c r="CN15" s="16">
        <f>SUM(CL15:CM15)</f>
        <v>52072.590000000011</v>
      </c>
      <c r="CO15" s="12"/>
      <c r="CP15" s="15"/>
      <c r="CQ15" s="9"/>
      <c r="CR15" s="26">
        <f>SUM(CR3:CR12)</f>
        <v>764.61999999999807</v>
      </c>
      <c r="CS15" t="s">
        <v>59</v>
      </c>
      <c r="CZ15" s="16">
        <f>SUM(CZ3:CZ14)</f>
        <v>39642.580000000009</v>
      </c>
      <c r="DA15" s="16">
        <f>SUM(DA3:DA14)</f>
        <v>764.61999999999807</v>
      </c>
      <c r="DF15" s="16">
        <f>SUM(DF3:DF14)</f>
        <v>39457.05000000001</v>
      </c>
    </row>
    <row r="16" spans="1:111" ht="15" x14ac:dyDescent="0.25">
      <c r="A16" t="s">
        <v>7</v>
      </c>
      <c r="F16">
        <f>58.46+470.89+0.45</f>
        <v>529.80000000000007</v>
      </c>
      <c r="H16" s="1"/>
      <c r="I16" s="1"/>
      <c r="J16" s="1"/>
      <c r="K16" s="1">
        <f>673.13+25+100.17+16</f>
        <v>814.3</v>
      </c>
      <c r="M16" s="1"/>
      <c r="N16" s="1"/>
      <c r="O16" s="1"/>
      <c r="P16" s="6">
        <f>483.33+0.7</f>
        <v>484.03</v>
      </c>
      <c r="Q16" s="1"/>
      <c r="Y16">
        <f>52.14+410+425.96+27.9</f>
        <v>915.99999999999989</v>
      </c>
      <c r="Z16" s="1"/>
      <c r="AG16">
        <f>23.76+9.95+1.55+8.45</f>
        <v>43.709999999999994</v>
      </c>
      <c r="AH16" s="1"/>
      <c r="AL16">
        <f>91.79+70.71+2.5+43.34+51.94</f>
        <v>260.27999999999997</v>
      </c>
      <c r="BI16" s="16">
        <f>834.56+341.91+83.64+30.26+721.67+66.24+287.38+37.16+197.96+5413.69</f>
        <v>8014.4699999999993</v>
      </c>
      <c r="BP16" s="1">
        <f>834.56+341.91+83.64</f>
        <v>1260.1100000000001</v>
      </c>
      <c r="BV16">
        <f>30.26+721.67+66.24+287.38</f>
        <v>1105.55</v>
      </c>
      <c r="CA16">
        <f>1099.94+5413.69</f>
        <v>6513.6299999999992</v>
      </c>
      <c r="CD16" s="15"/>
      <c r="CE16" s="9"/>
      <c r="CF16" s="9"/>
      <c r="CG16" s="24" t="s">
        <v>45</v>
      </c>
      <c r="CH16" s="49"/>
      <c r="CL16" s="12">
        <v>81.5</v>
      </c>
      <c r="CP16" s="15"/>
      <c r="CQ16" s="9"/>
      <c r="CR16" s="24" t="s">
        <v>47</v>
      </c>
      <c r="CZ16">
        <f>565.8+71.68+5.84+3.5</f>
        <v>646.82000000000005</v>
      </c>
      <c r="DF16" s="53">
        <f>97.1+2976.75</f>
        <v>3073.85</v>
      </c>
      <c r="DG16" s="17"/>
    </row>
    <row r="17" spans="1:110" ht="15" x14ac:dyDescent="0.25">
      <c r="A17" t="s">
        <v>63</v>
      </c>
      <c r="H17" s="1"/>
      <c r="I17" s="1"/>
      <c r="J17" s="1"/>
      <c r="K17" s="1"/>
      <c r="M17" s="1"/>
      <c r="N17" s="1"/>
      <c r="O17" s="1"/>
      <c r="P17" s="1"/>
      <c r="Q17" s="1"/>
      <c r="CA17" s="1"/>
      <c r="CD17" s="15"/>
      <c r="CE17" s="9"/>
      <c r="CF17" s="9"/>
      <c r="CG17" s="18"/>
      <c r="CH17" s="51"/>
      <c r="CL17" s="12"/>
      <c r="CP17" s="15"/>
      <c r="CQ17" s="9"/>
      <c r="CR17" s="18"/>
      <c r="DF17" s="53">
        <v>14430</v>
      </c>
    </row>
    <row r="18" spans="1:110" ht="15" x14ac:dyDescent="0.25">
      <c r="A18" t="s">
        <v>64</v>
      </c>
      <c r="H18" s="1"/>
      <c r="I18" s="1"/>
      <c r="J18" s="1"/>
      <c r="K18" s="1"/>
      <c r="M18" s="1"/>
      <c r="N18" s="1"/>
      <c r="O18" s="1"/>
      <c r="P18" s="1"/>
      <c r="Q18" s="1"/>
      <c r="CA18" s="1"/>
      <c r="CD18" s="15"/>
      <c r="CE18" s="9"/>
      <c r="CF18" s="9"/>
      <c r="CG18" s="18"/>
      <c r="CH18" s="51"/>
      <c r="CL18" s="12"/>
      <c r="CP18" s="15"/>
      <c r="CQ18" s="9"/>
      <c r="CR18" s="18"/>
      <c r="DF18" s="53">
        <v>50000</v>
      </c>
    </row>
    <row r="19" spans="1:110" ht="15" x14ac:dyDescent="0.25">
      <c r="A19" t="s">
        <v>65</v>
      </c>
      <c r="H19" s="1"/>
      <c r="I19" s="1"/>
      <c r="J19" s="1"/>
      <c r="K19" s="1"/>
      <c r="M19" s="1"/>
      <c r="N19" s="1"/>
      <c r="O19" s="1"/>
      <c r="P19" s="1"/>
      <c r="Q19" s="1"/>
      <c r="CA19" s="1"/>
      <c r="CD19" s="15"/>
      <c r="CE19" s="9"/>
      <c r="CF19" s="9"/>
      <c r="CG19" s="18"/>
      <c r="CH19" s="51"/>
      <c r="CL19" s="12"/>
      <c r="CP19" s="15"/>
      <c r="CQ19" s="9"/>
      <c r="CR19" s="18"/>
      <c r="DF19" s="53">
        <v>809.48</v>
      </c>
    </row>
    <row r="20" spans="1:110" ht="15" x14ac:dyDescent="0.25">
      <c r="A20" t="s">
        <v>66</v>
      </c>
      <c r="H20" s="1"/>
      <c r="I20" s="1"/>
      <c r="J20" s="1"/>
      <c r="K20" s="1"/>
      <c r="M20" s="1"/>
      <c r="N20" s="1"/>
      <c r="O20" s="1"/>
      <c r="P20" s="1"/>
      <c r="Q20" s="1"/>
      <c r="CA20" s="1"/>
      <c r="CD20" s="15"/>
      <c r="CE20" s="9"/>
      <c r="CF20" s="9"/>
      <c r="CG20" s="18"/>
      <c r="CH20" s="51"/>
      <c r="CL20" s="12"/>
      <c r="CP20" s="15"/>
      <c r="CQ20" s="9"/>
      <c r="CR20" s="18"/>
      <c r="DF20" s="53">
        <v>2500</v>
      </c>
    </row>
    <row r="21" spans="1:110" ht="15" x14ac:dyDescent="0.25">
      <c r="A21" t="s">
        <v>67</v>
      </c>
      <c r="H21" s="1"/>
      <c r="I21" s="1"/>
      <c r="J21" s="1"/>
      <c r="K21" s="1"/>
      <c r="M21" s="1"/>
      <c r="N21" s="1"/>
      <c r="O21" s="1"/>
      <c r="P21" s="1"/>
      <c r="Q21" s="1"/>
      <c r="CA21" s="1"/>
      <c r="CD21" s="15"/>
      <c r="CE21" s="9"/>
      <c r="CF21" s="9"/>
      <c r="CG21" s="18"/>
      <c r="CH21" s="51"/>
      <c r="CL21" s="12"/>
      <c r="CP21" s="15"/>
      <c r="CQ21" s="9"/>
      <c r="CR21" s="18"/>
      <c r="DF21" s="53">
        <v>46800</v>
      </c>
    </row>
    <row r="22" spans="1:110" ht="15" x14ac:dyDescent="0.25">
      <c r="A22" t="s">
        <v>69</v>
      </c>
      <c r="H22" s="1"/>
      <c r="I22" s="1"/>
      <c r="J22" s="1"/>
      <c r="K22" s="1"/>
      <c r="M22" s="1"/>
      <c r="N22" s="1"/>
      <c r="O22" s="1"/>
      <c r="P22" s="1"/>
      <c r="Q22" s="1"/>
      <c r="CA22" s="1"/>
      <c r="CD22" s="15"/>
      <c r="CE22" s="9"/>
      <c r="CF22" s="9"/>
      <c r="CG22" s="18"/>
      <c r="CH22" s="51"/>
      <c r="CL22" s="12"/>
      <c r="CP22" s="15"/>
      <c r="CQ22" s="9"/>
      <c r="CR22" s="18"/>
      <c r="DF22" s="53">
        <v>23264.48</v>
      </c>
    </row>
    <row r="23" spans="1:110" ht="28.2" customHeight="1" x14ac:dyDescent="0.25">
      <c r="A23" s="2" t="s">
        <v>27</v>
      </c>
      <c r="F23" s="1">
        <v>380000</v>
      </c>
      <c r="H23" s="1"/>
      <c r="I23" s="1"/>
      <c r="J23" s="1"/>
      <c r="K23" s="1"/>
      <c r="M23" s="1"/>
      <c r="N23" s="1"/>
      <c r="O23" s="1"/>
      <c r="P23" s="1"/>
      <c r="Q23" s="1"/>
      <c r="CD23" s="15"/>
      <c r="CE23" s="9"/>
      <c r="CF23" s="9"/>
      <c r="CG23" s="18"/>
      <c r="CH23" s="9"/>
      <c r="CL23" s="12"/>
      <c r="CP23" s="15"/>
      <c r="CQ23" s="9"/>
      <c r="CR23" s="18"/>
    </row>
    <row r="24" spans="1:110" ht="15" x14ac:dyDescent="0.25">
      <c r="A24" s="2"/>
      <c r="F24" s="1"/>
      <c r="H24" s="1"/>
      <c r="I24" s="1"/>
      <c r="J24" s="1"/>
      <c r="K24" s="1"/>
      <c r="M24" s="1"/>
      <c r="N24" s="1"/>
      <c r="O24" s="1"/>
      <c r="P24" s="1"/>
      <c r="Q24" s="1"/>
      <c r="CD24" s="15"/>
      <c r="CE24" s="9"/>
      <c r="CF24" s="9"/>
      <c r="CG24" s="18"/>
      <c r="CH24" s="51"/>
      <c r="CK24" s="35"/>
      <c r="CL24" s="12"/>
      <c r="CP24" s="15"/>
      <c r="CQ24" s="9"/>
      <c r="CR24" s="18"/>
    </row>
    <row r="25" spans="1:110" ht="15" x14ac:dyDescent="0.25">
      <c r="H25" s="1"/>
      <c r="I25" s="1"/>
      <c r="J25" s="1"/>
      <c r="K25" s="1"/>
      <c r="M25" s="1"/>
      <c r="N25" s="1"/>
      <c r="O25" s="1"/>
      <c r="P25" s="1"/>
      <c r="Q25" s="1"/>
      <c r="BH25" s="7" t="s">
        <v>37</v>
      </c>
      <c r="BI25" s="22">
        <v>-524.34</v>
      </c>
      <c r="CD25" s="15"/>
      <c r="CG25" s="30">
        <v>524.34</v>
      </c>
      <c r="CH25" s="50"/>
      <c r="CL25" s="39"/>
      <c r="CP25" s="15"/>
      <c r="CR25" s="32"/>
    </row>
    <row r="26" spans="1:110" ht="15" x14ac:dyDescent="0.25">
      <c r="H26" s="1"/>
      <c r="I26" s="1"/>
      <c r="J26" s="1"/>
      <c r="K26" s="1"/>
      <c r="M26" s="1"/>
      <c r="N26" s="1"/>
      <c r="O26" s="1"/>
      <c r="P26" s="1"/>
      <c r="Q26" s="1"/>
      <c r="BP26" s="12"/>
      <c r="CD26" s="15"/>
      <c r="CE26" s="9"/>
      <c r="CF26" s="9"/>
      <c r="CG26" s="18"/>
      <c r="CH26" s="9"/>
      <c r="CL26" s="35"/>
      <c r="CP26" s="15"/>
      <c r="CQ26" s="9"/>
      <c r="CR26" s="18"/>
    </row>
    <row r="27" spans="1:110" ht="15" x14ac:dyDescent="0.25">
      <c r="A27" t="s">
        <v>8</v>
      </c>
      <c r="H27" s="1"/>
      <c r="I27" s="1"/>
      <c r="J27" s="1"/>
      <c r="K27" s="1"/>
      <c r="M27" s="1"/>
      <c r="N27" s="1"/>
      <c r="O27" s="1"/>
      <c r="P27" s="1"/>
      <c r="Q27" s="1"/>
      <c r="AL27" s="8"/>
      <c r="CD27" s="15"/>
      <c r="CE27" s="9"/>
      <c r="CF27" s="9"/>
      <c r="CG27" s="18"/>
      <c r="CH27" s="9"/>
      <c r="CK27" s="8"/>
      <c r="CL27" s="40"/>
      <c r="CM27" s="8"/>
      <c r="CN27" s="8"/>
      <c r="CP27" s="15"/>
      <c r="CQ27" s="9"/>
      <c r="CR27" s="18"/>
      <c r="CZ27" s="8"/>
      <c r="DA27" s="8"/>
      <c r="DF27" s="8"/>
    </row>
    <row r="28" spans="1:110" ht="15" x14ac:dyDescent="0.25">
      <c r="A28" t="s">
        <v>9</v>
      </c>
      <c r="F28" s="1">
        <f>F15+F16+F23</f>
        <v>417352.92499999999</v>
      </c>
      <c r="H28" s="1"/>
      <c r="I28" s="1"/>
      <c r="J28" s="1"/>
      <c r="K28" s="1">
        <f>K15+K16+K27</f>
        <v>36263.475000000006</v>
      </c>
      <c r="L28" s="1"/>
      <c r="M28" s="1"/>
      <c r="N28" s="1"/>
      <c r="O28" s="1"/>
      <c r="Q28" s="1">
        <f>P15+P16</f>
        <v>40091.109999999993</v>
      </c>
      <c r="AL28" s="1">
        <f>AL15+AL16</f>
        <v>41961.324999999997</v>
      </c>
      <c r="BI28" s="16">
        <f>SUM(BI15:BI27)</f>
        <v>112044.69500000001</v>
      </c>
      <c r="CD28" s="20"/>
      <c r="CE28" s="8"/>
      <c r="CF28" s="8"/>
      <c r="CG28" s="25"/>
      <c r="CH28" s="9"/>
      <c r="CL28" s="1">
        <f>SUM(CL15:CL27)</f>
        <v>36877.44000000001</v>
      </c>
      <c r="CM28" s="1">
        <f>SUM(CM15:CM27)</f>
        <v>15276.650000000001</v>
      </c>
      <c r="CN28" s="3">
        <f>SUM(CL28:CM28)</f>
        <v>52154.090000000011</v>
      </c>
      <c r="CP28" s="20"/>
      <c r="CQ28" s="8"/>
      <c r="CR28" s="25"/>
      <c r="CZ28" s="17">
        <f>SUM(CZ15:CZ27)</f>
        <v>40289.400000000009</v>
      </c>
      <c r="DA28" s="17">
        <f>SUM(DA15:DA27)</f>
        <v>764.61999999999807</v>
      </c>
      <c r="DF28" s="17">
        <f>SUM(DF15:DF27)</f>
        <v>180334.86000000002</v>
      </c>
    </row>
    <row r="29" spans="1:110" ht="15" x14ac:dyDescent="0.25">
      <c r="H29" s="1"/>
      <c r="I29" s="1"/>
      <c r="J29" s="1"/>
      <c r="K29" s="1"/>
      <c r="M29" s="1"/>
      <c r="N29" s="1"/>
      <c r="O29" s="1"/>
      <c r="P29" s="1"/>
      <c r="Q29" s="1"/>
    </row>
    <row r="30" spans="1:110" ht="15" x14ac:dyDescent="0.25">
      <c r="A30" t="s">
        <v>10</v>
      </c>
      <c r="F30" s="1">
        <v>278329.64</v>
      </c>
      <c r="H30" s="1"/>
      <c r="I30" s="1"/>
      <c r="J30" s="1"/>
      <c r="K30" s="1">
        <v>162399.79</v>
      </c>
      <c r="L30" s="1"/>
      <c r="M30" s="1"/>
      <c r="N30" s="1"/>
      <c r="O30" s="1"/>
      <c r="P30" s="1">
        <v>216349.4</v>
      </c>
      <c r="Q30" s="1"/>
      <c r="T30" s="1"/>
      <c r="U30" s="1"/>
      <c r="V30" s="1"/>
      <c r="W30" s="1"/>
      <c r="X30" s="1">
        <v>206191.35999999999</v>
      </c>
      <c r="Z30" s="1"/>
      <c r="AA30" s="1"/>
      <c r="AF30" s="1">
        <v>148799.71</v>
      </c>
      <c r="AG30" s="1"/>
      <c r="AI30" s="1"/>
      <c r="AL30" s="1">
        <v>91243.16</v>
      </c>
      <c r="AM30" s="1"/>
      <c r="AN30" s="1"/>
      <c r="AT30" s="1">
        <v>96047.81</v>
      </c>
      <c r="AU30" s="1"/>
      <c r="AX30" s="1"/>
      <c r="BB30" s="1">
        <v>97787.48</v>
      </c>
      <c r="BI30" s="1">
        <v>125647.2</v>
      </c>
      <c r="CN30" s="1">
        <v>119879.42</v>
      </c>
      <c r="CZ30" s="53">
        <v>265133.8</v>
      </c>
      <c r="DF30" s="53">
        <v>474367.72</v>
      </c>
    </row>
    <row r="31" spans="1:110" x14ac:dyDescent="0.3">
      <c r="A31" t="s">
        <v>11</v>
      </c>
      <c r="F31" s="1"/>
      <c r="H31" s="1"/>
      <c r="I31" s="1"/>
      <c r="J31" s="1"/>
      <c r="K31" s="1">
        <v>55967.31</v>
      </c>
      <c r="L31" s="1"/>
      <c r="M31" s="1"/>
      <c r="N31" s="1"/>
      <c r="O31" s="1"/>
      <c r="P31" s="1">
        <v>40647.17</v>
      </c>
      <c r="Q31" s="1"/>
      <c r="T31" s="1"/>
      <c r="U31" s="1"/>
      <c r="V31" s="1"/>
      <c r="W31" s="1"/>
      <c r="X31" s="1">
        <v>45729.84</v>
      </c>
      <c r="Z31" s="1"/>
      <c r="AA31" s="1"/>
      <c r="AF31" s="1">
        <v>33702.19</v>
      </c>
      <c r="AG31" s="1"/>
      <c r="AI31" s="1"/>
      <c r="AL31" s="1">
        <v>36751.1</v>
      </c>
      <c r="AM31" s="1"/>
      <c r="AN31" s="1"/>
      <c r="AT31" s="1">
        <v>18026</v>
      </c>
      <c r="AU31" s="1"/>
      <c r="AX31" s="1"/>
      <c r="BB31" s="1">
        <v>36645.64</v>
      </c>
      <c r="BI31" s="11">
        <v>29513.3</v>
      </c>
      <c r="CN31" s="1">
        <v>30823.56</v>
      </c>
      <c r="CP31" s="1"/>
      <c r="CZ31" s="16">
        <v>28467.49</v>
      </c>
      <c r="DF31" s="16">
        <v>76782.22</v>
      </c>
    </row>
    <row r="32" spans="1:110" x14ac:dyDescent="0.3">
      <c r="A32" t="s">
        <v>12</v>
      </c>
      <c r="F32" s="1"/>
      <c r="H32" s="1"/>
      <c r="I32" s="1"/>
      <c r="J32" s="1"/>
      <c r="K32" s="1">
        <v>43363.97</v>
      </c>
      <c r="L32" s="1"/>
      <c r="M32" s="1"/>
      <c r="N32" s="1"/>
      <c r="O32" s="1"/>
      <c r="P32" s="1"/>
      <c r="Q32" s="1"/>
      <c r="T32" s="1"/>
      <c r="U32" s="1"/>
      <c r="V32" s="1"/>
      <c r="W32" s="1"/>
      <c r="X32" s="1">
        <v>73006.31</v>
      </c>
      <c r="Z32" s="1"/>
      <c r="AA32" s="1"/>
      <c r="AF32" s="1">
        <v>32410.34</v>
      </c>
      <c r="AG32" s="1"/>
      <c r="AI32" s="1"/>
      <c r="AL32" s="1"/>
      <c r="AM32" s="1"/>
      <c r="AN32" s="1"/>
      <c r="AT32" s="1">
        <v>50955.91</v>
      </c>
      <c r="AU32" s="1"/>
      <c r="AX32" s="1"/>
      <c r="BB32" s="1"/>
      <c r="BI32" s="11">
        <v>58099.35</v>
      </c>
      <c r="BJ32" s="1"/>
      <c r="CN32" s="1">
        <v>31590.28</v>
      </c>
      <c r="CQ32" s="17"/>
      <c r="CZ32" s="16">
        <v>16688.400000000001</v>
      </c>
      <c r="DF32" s="16">
        <v>31398.32</v>
      </c>
    </row>
    <row r="33" spans="1:111" x14ac:dyDescent="0.3">
      <c r="A33" t="s">
        <v>60</v>
      </c>
      <c r="F33" s="1"/>
      <c r="H33" s="1"/>
      <c r="I33" s="1"/>
      <c r="J33" s="1"/>
      <c r="K33" s="1"/>
      <c r="L33" s="1"/>
      <c r="M33" s="1"/>
      <c r="N33" s="1"/>
      <c r="O33" s="1"/>
      <c r="P33" s="1"/>
      <c r="Q33" s="1"/>
      <c r="S33" s="1">
        <v>18883.560000000001</v>
      </c>
      <c r="T33" s="1"/>
      <c r="U33" s="1"/>
      <c r="V33" s="1"/>
      <c r="W33" s="1"/>
      <c r="X33" s="1"/>
      <c r="Z33" s="1"/>
      <c r="AA33" s="1"/>
      <c r="AF33" s="1">
        <v>251587.88</v>
      </c>
      <c r="AG33" s="1"/>
      <c r="AI33" s="1"/>
      <c r="AL33" s="1">
        <v>51944.55</v>
      </c>
      <c r="AM33" s="1"/>
      <c r="AN33" s="1"/>
      <c r="AT33" s="1">
        <v>34910.94</v>
      </c>
      <c r="AU33" s="1"/>
      <c r="AX33" s="1"/>
      <c r="BB33" s="1">
        <v>40446.9</v>
      </c>
      <c r="BI33" s="11">
        <v>48269.52</v>
      </c>
      <c r="CN33" s="1">
        <v>51131.03</v>
      </c>
      <c r="CP33" s="17"/>
      <c r="CZ33" s="16">
        <v>39002.28</v>
      </c>
      <c r="DF33" s="16">
        <v>99192.24</v>
      </c>
    </row>
    <row r="34" spans="1:111" x14ac:dyDescent="0.3">
      <c r="A34" t="s">
        <v>13</v>
      </c>
      <c r="F34" s="1"/>
      <c r="H34" s="1"/>
      <c r="I34" s="1"/>
      <c r="J34" s="1"/>
      <c r="K34" s="1">
        <v>18723.88</v>
      </c>
      <c r="L34" s="1"/>
      <c r="M34" s="1"/>
      <c r="N34" s="1"/>
      <c r="O34" s="1"/>
      <c r="P34" s="1">
        <v>8972.85</v>
      </c>
      <c r="Q34" s="1"/>
      <c r="S34" s="1">
        <v>49064.11</v>
      </c>
      <c r="T34" s="1"/>
      <c r="U34" s="1"/>
      <c r="V34" s="1"/>
      <c r="W34" s="1"/>
      <c r="X34" s="1">
        <v>6991.38</v>
      </c>
      <c r="Z34" s="1"/>
      <c r="AA34" s="1"/>
      <c r="AF34" s="1">
        <v>5447.89</v>
      </c>
      <c r="AG34" s="1"/>
      <c r="AI34" s="1"/>
      <c r="AL34" s="1">
        <v>6636.18</v>
      </c>
      <c r="AM34" s="1"/>
      <c r="AN34" s="1"/>
      <c r="AT34" s="1">
        <v>5189.53</v>
      </c>
      <c r="AU34" s="1"/>
      <c r="AX34" s="1"/>
      <c r="BB34" s="1">
        <v>6189.43</v>
      </c>
      <c r="BI34" s="1">
        <v>12902.39</v>
      </c>
      <c r="CN34" s="11">
        <v>8719.44</v>
      </c>
      <c r="CZ34" s="16">
        <v>11419.67</v>
      </c>
      <c r="DF34" s="16">
        <v>4934.68</v>
      </c>
    </row>
    <row r="35" spans="1:111" x14ac:dyDescent="0.3">
      <c r="A35" t="s">
        <v>14</v>
      </c>
      <c r="F35" s="1"/>
      <c r="H35" s="1"/>
      <c r="I35" s="1"/>
      <c r="J35" s="1"/>
      <c r="K35" s="1"/>
      <c r="L35" s="1"/>
      <c r="M35" s="1"/>
      <c r="N35" s="1"/>
      <c r="O35" s="1"/>
      <c r="P35" s="1">
        <v>12359.94</v>
      </c>
      <c r="Q35" s="5"/>
      <c r="S35" s="1">
        <v>103564.46</v>
      </c>
      <c r="T35" s="1"/>
      <c r="U35" s="1"/>
      <c r="V35" s="1"/>
      <c r="W35" s="1"/>
      <c r="X35" s="1">
        <v>7019.52</v>
      </c>
      <c r="Z35" s="1"/>
      <c r="AA35" s="1"/>
      <c r="AF35" s="1">
        <v>6739.09</v>
      </c>
      <c r="AG35" s="1"/>
      <c r="AI35" s="1"/>
      <c r="AL35" s="1">
        <v>6908.16</v>
      </c>
      <c r="AM35" s="1"/>
      <c r="AN35" s="1"/>
      <c r="AT35" s="1">
        <v>6711.7</v>
      </c>
      <c r="AU35" s="1"/>
      <c r="AX35" s="1"/>
      <c r="BB35" s="1">
        <v>3965.66</v>
      </c>
      <c r="BI35" s="1">
        <v>9306</v>
      </c>
      <c r="CN35" s="1">
        <v>11051.97</v>
      </c>
      <c r="CZ35" s="16">
        <v>8235.1299999999992</v>
      </c>
      <c r="DF35" s="16">
        <v>15190.14</v>
      </c>
    </row>
    <row r="36" spans="1:111" x14ac:dyDescent="0.3">
      <c r="A36" t="s">
        <v>15</v>
      </c>
      <c r="F36" s="1"/>
      <c r="H36" s="1"/>
      <c r="I36" s="1"/>
      <c r="J36" s="1"/>
      <c r="K36" s="1"/>
      <c r="L36" s="1"/>
      <c r="M36" s="1"/>
      <c r="N36" s="1"/>
      <c r="O36" s="1"/>
      <c r="P36" s="1">
        <v>44973.77</v>
      </c>
      <c r="Q36" s="1"/>
      <c r="S36" s="1">
        <v>23314.240000000002</v>
      </c>
      <c r="T36" s="1"/>
      <c r="U36" s="1"/>
      <c r="V36" s="1"/>
      <c r="W36" s="1"/>
      <c r="X36" s="1">
        <v>11675.25</v>
      </c>
      <c r="Z36" s="1"/>
      <c r="AA36" s="1"/>
      <c r="AF36" s="1">
        <v>9079.02</v>
      </c>
      <c r="AG36" s="1"/>
      <c r="AI36" s="1"/>
      <c r="AL36" s="1">
        <v>12224.64</v>
      </c>
      <c r="AM36" s="1"/>
      <c r="AN36" s="1"/>
      <c r="AT36" s="1">
        <v>7838.28</v>
      </c>
      <c r="AU36" s="1"/>
      <c r="AX36" s="1"/>
      <c r="BB36" s="1"/>
      <c r="BI36" s="11">
        <v>26232</v>
      </c>
      <c r="CN36" s="1">
        <v>9579.2900000000009</v>
      </c>
      <c r="CZ36" s="16">
        <v>17903.04</v>
      </c>
      <c r="DF36" s="16">
        <v>22895.88</v>
      </c>
    </row>
    <row r="37" spans="1:111" x14ac:dyDescent="0.3">
      <c r="A37" t="s">
        <v>16</v>
      </c>
      <c r="F37" s="1"/>
      <c r="H37" s="1"/>
      <c r="I37" s="1"/>
      <c r="J37" s="1"/>
      <c r="K37" s="1"/>
      <c r="L37" s="1"/>
      <c r="M37" s="1"/>
      <c r="N37" s="1"/>
      <c r="O37" s="1"/>
      <c r="P37" s="1"/>
      <c r="Q37" s="1"/>
      <c r="S37" s="1">
        <v>10261.17</v>
      </c>
      <c r="T37" s="1"/>
      <c r="U37" s="1"/>
      <c r="V37" s="1"/>
      <c r="W37" s="1"/>
      <c r="X37" s="1">
        <v>22353.11</v>
      </c>
      <c r="Z37" s="1"/>
      <c r="AA37" s="1"/>
      <c r="AF37" s="1">
        <v>4735.97</v>
      </c>
      <c r="AG37" s="1"/>
      <c r="AI37" s="1"/>
      <c r="AL37" s="1">
        <v>10419.530000000001</v>
      </c>
      <c r="AM37" s="1"/>
      <c r="AN37" s="1"/>
      <c r="AT37" s="1">
        <v>13137.32</v>
      </c>
      <c r="AU37" s="1"/>
      <c r="AX37" s="1"/>
      <c r="BB37" s="1">
        <v>3603.79</v>
      </c>
      <c r="BI37" s="1">
        <v>21530.5</v>
      </c>
      <c r="CN37" s="1">
        <v>22593.46</v>
      </c>
      <c r="CZ37" s="16">
        <v>18620.73</v>
      </c>
      <c r="DF37" s="16">
        <v>59142.91</v>
      </c>
    </row>
    <row r="38" spans="1:111" x14ac:dyDescent="0.3">
      <c r="A38" t="s">
        <v>17</v>
      </c>
      <c r="F38" s="1"/>
      <c r="H38" s="1"/>
      <c r="I38" s="1"/>
      <c r="J38" s="1"/>
      <c r="K38" s="1"/>
      <c r="L38" s="1"/>
      <c r="M38" s="1"/>
      <c r="N38" s="1"/>
      <c r="O38" s="1"/>
      <c r="P38" s="1"/>
      <c r="Q38" s="1"/>
      <c r="S38" s="1">
        <v>185709.09</v>
      </c>
      <c r="T38" s="1"/>
      <c r="U38" s="1"/>
      <c r="V38" s="1"/>
      <c r="W38" s="1"/>
      <c r="X38" s="1">
        <v>4019.66</v>
      </c>
      <c r="Z38" s="1"/>
      <c r="AA38" s="1"/>
      <c r="AF38" s="1">
        <v>1121.8599999999999</v>
      </c>
      <c r="AG38" s="1"/>
      <c r="AI38" s="1"/>
      <c r="AL38" s="1"/>
      <c r="AM38" s="1"/>
      <c r="AN38" s="1"/>
      <c r="AT38" s="1">
        <v>8097.52</v>
      </c>
      <c r="AU38" s="1"/>
      <c r="AX38" s="1"/>
      <c r="BB38" s="1">
        <v>7791.48</v>
      </c>
      <c r="BI38" s="1">
        <v>5907.3</v>
      </c>
      <c r="CN38" s="1">
        <v>6514.15</v>
      </c>
      <c r="CZ38" s="53">
        <v>6757.95</v>
      </c>
      <c r="DF38" s="53">
        <v>26933.83</v>
      </c>
    </row>
    <row r="39" spans="1:111" x14ac:dyDescent="0.3">
      <c r="A39" t="s">
        <v>18</v>
      </c>
      <c r="F39" s="1">
        <v>44848.76</v>
      </c>
      <c r="H39" s="1"/>
      <c r="I39" s="1"/>
      <c r="J39" s="1"/>
      <c r="K39" s="1">
        <v>66019.69</v>
      </c>
      <c r="L39" s="1"/>
      <c r="M39" s="1"/>
      <c r="N39" s="1"/>
      <c r="O39" s="1"/>
      <c r="P39" s="1">
        <v>74844.84</v>
      </c>
      <c r="Q39" s="1"/>
      <c r="S39" s="1">
        <v>3998.11</v>
      </c>
      <c r="T39" s="1"/>
      <c r="U39" s="1"/>
      <c r="V39" s="1"/>
      <c r="W39" s="1"/>
      <c r="X39" s="1">
        <v>48230.78</v>
      </c>
      <c r="Z39" s="1"/>
      <c r="AA39" s="1"/>
      <c r="AF39" s="1">
        <v>74348.710000000006</v>
      </c>
      <c r="AG39" s="1"/>
      <c r="AI39" s="1"/>
      <c r="AL39" s="1">
        <v>71018.84</v>
      </c>
      <c r="AM39" s="1"/>
      <c r="AN39" s="1"/>
      <c r="AT39" s="1"/>
      <c r="AU39" s="1"/>
      <c r="AX39" s="1"/>
      <c r="BB39" s="1">
        <v>58251.27</v>
      </c>
      <c r="BI39" s="1">
        <v>80986.289999999994</v>
      </c>
      <c r="CN39" s="1">
        <f>65076.55+48204.52</f>
        <v>113281.07</v>
      </c>
      <c r="CO39" t="s">
        <v>42</v>
      </c>
      <c r="CZ39" s="16">
        <v>73532.81</v>
      </c>
      <c r="DF39" s="16">
        <v>147413.85999999999</v>
      </c>
    </row>
    <row r="40" spans="1:111" x14ac:dyDescent="0.3">
      <c r="A40" t="s">
        <v>19</v>
      </c>
      <c r="F40" s="1"/>
      <c r="H40" s="1"/>
      <c r="I40" s="1"/>
      <c r="J40" s="1"/>
      <c r="K40" s="1">
        <v>92815.64</v>
      </c>
      <c r="L40" s="1"/>
      <c r="M40" s="1"/>
      <c r="N40" s="1"/>
      <c r="O40" s="1"/>
      <c r="P40" s="1">
        <v>83381.820000000007</v>
      </c>
      <c r="Q40" s="1"/>
      <c r="S40" s="1">
        <v>4237.72</v>
      </c>
      <c r="T40" s="1"/>
      <c r="U40" s="1"/>
      <c r="V40" s="1"/>
      <c r="W40" s="1"/>
      <c r="X40" s="1">
        <v>81473.399999999994</v>
      </c>
      <c r="Z40" s="1"/>
      <c r="AA40" s="1"/>
      <c r="AF40" s="1">
        <v>80779.83</v>
      </c>
      <c r="AG40" s="1"/>
      <c r="AI40" s="1"/>
      <c r="AL40" s="1">
        <v>72154.539999999994</v>
      </c>
      <c r="AM40" s="1"/>
      <c r="AN40" s="1"/>
      <c r="AT40" s="1">
        <v>78711.460000000006</v>
      </c>
      <c r="AU40" s="1"/>
      <c r="AX40" s="1"/>
      <c r="BB40" s="1">
        <v>71927.429999999993</v>
      </c>
      <c r="BI40" s="1">
        <f>88375.29+9768</f>
        <v>98143.29</v>
      </c>
      <c r="CN40" s="1">
        <v>88299.02</v>
      </c>
      <c r="CZ40" s="53">
        <v>98214.25</v>
      </c>
      <c r="DF40" s="53">
        <v>144875.20000000001</v>
      </c>
    </row>
    <row r="41" spans="1:111" x14ac:dyDescent="0.3">
      <c r="A41" t="s">
        <v>20</v>
      </c>
      <c r="F41" s="1">
        <v>29861.5</v>
      </c>
      <c r="H41" s="1"/>
      <c r="I41" s="1"/>
      <c r="J41" s="1"/>
      <c r="K41" s="1">
        <v>29440.45</v>
      </c>
      <c r="L41" s="1"/>
      <c r="M41" s="1"/>
      <c r="N41" s="1"/>
      <c r="O41" s="1"/>
      <c r="P41" s="1">
        <v>27533.35</v>
      </c>
      <c r="Q41" s="1"/>
      <c r="S41" s="1">
        <v>7366.54</v>
      </c>
      <c r="T41" s="1"/>
      <c r="U41" s="1"/>
      <c r="V41" s="1"/>
      <c r="W41" s="1"/>
      <c r="X41" s="1">
        <v>28408</v>
      </c>
      <c r="Z41" s="1"/>
      <c r="AA41" s="1"/>
      <c r="AF41" s="1">
        <v>27738.5</v>
      </c>
      <c r="AG41" s="1"/>
      <c r="AI41" s="1"/>
      <c r="AL41" s="1">
        <v>34512.160000000003</v>
      </c>
      <c r="AM41" s="1"/>
      <c r="AN41" s="1"/>
      <c r="AT41" s="1">
        <v>29890</v>
      </c>
      <c r="AU41" s="1"/>
      <c r="AX41" s="1"/>
      <c r="BB41" s="1">
        <v>36157</v>
      </c>
      <c r="BI41" s="1">
        <v>29571.1</v>
      </c>
      <c r="CN41" s="1">
        <v>34797.57</v>
      </c>
      <c r="CZ41" s="16">
        <v>47708.98</v>
      </c>
      <c r="DF41" s="16">
        <v>61115.75</v>
      </c>
    </row>
    <row r="42" spans="1:111" x14ac:dyDescent="0.3">
      <c r="A42" t="s">
        <v>21</v>
      </c>
      <c r="F42" s="1">
        <v>1350</v>
      </c>
      <c r="H42" s="1"/>
      <c r="I42" s="1"/>
      <c r="J42" s="1"/>
      <c r="K42" s="1">
        <v>1125</v>
      </c>
      <c r="L42" s="1"/>
      <c r="M42" s="1"/>
      <c r="N42" s="1"/>
      <c r="O42" s="1"/>
      <c r="P42" s="1"/>
      <c r="Q42" s="1"/>
      <c r="S42" s="1">
        <v>28607.77</v>
      </c>
      <c r="T42" s="1"/>
      <c r="U42" s="1"/>
      <c r="V42" s="1"/>
      <c r="W42" s="1"/>
      <c r="X42" s="1">
        <v>450</v>
      </c>
      <c r="Z42" s="1"/>
      <c r="AA42" s="1"/>
      <c r="AF42" s="1"/>
      <c r="AG42" s="1"/>
      <c r="AI42" s="1"/>
      <c r="AL42" s="1"/>
      <c r="AM42" s="1"/>
      <c r="AN42" s="1"/>
      <c r="AT42" s="1"/>
      <c r="AU42" s="1"/>
      <c r="AX42" s="1"/>
      <c r="BB42" s="1"/>
      <c r="BI42" s="1"/>
      <c r="CN42" s="1"/>
      <c r="CZ42" s="16"/>
      <c r="DF42" s="16"/>
    </row>
    <row r="43" spans="1:111" x14ac:dyDescent="0.3">
      <c r="A43" t="s">
        <v>22</v>
      </c>
      <c r="F43" s="1">
        <v>5028.33</v>
      </c>
      <c r="H43" s="1"/>
      <c r="I43" s="1"/>
      <c r="J43" s="1"/>
      <c r="K43" s="1">
        <v>1440</v>
      </c>
      <c r="L43" s="1"/>
      <c r="M43" s="1"/>
      <c r="N43" s="1"/>
      <c r="O43" s="1"/>
      <c r="P43" s="1">
        <v>3105.54</v>
      </c>
      <c r="Q43" s="1"/>
      <c r="S43" s="1">
        <v>17018.34</v>
      </c>
      <c r="T43" s="1"/>
      <c r="U43" s="1"/>
      <c r="V43" s="1"/>
      <c r="W43" s="1"/>
      <c r="X43" s="1">
        <v>1837.5</v>
      </c>
      <c r="Z43" s="1"/>
      <c r="AA43" s="1"/>
      <c r="AF43" s="1">
        <v>1659.53</v>
      </c>
      <c r="AG43" s="1"/>
      <c r="AI43" s="1"/>
      <c r="AL43" s="1"/>
      <c r="AM43" s="1"/>
      <c r="AN43" s="1"/>
      <c r="AT43" s="1">
        <v>7368.75</v>
      </c>
      <c r="AU43" s="1"/>
      <c r="AX43" s="1"/>
      <c r="BB43" s="1">
        <v>458.75</v>
      </c>
      <c r="BI43" s="1">
        <v>7700</v>
      </c>
      <c r="CN43" s="1">
        <v>14035</v>
      </c>
      <c r="CZ43" s="16">
        <v>10112.98</v>
      </c>
      <c r="DF43" s="16">
        <v>7087.5</v>
      </c>
    </row>
    <row r="44" spans="1:111" x14ac:dyDescent="0.3">
      <c r="A44" t="s">
        <v>23</v>
      </c>
      <c r="F44" s="1"/>
      <c r="H44" s="1"/>
      <c r="I44" s="1"/>
      <c r="J44" s="1"/>
      <c r="K44" s="1"/>
      <c r="L44" s="1"/>
      <c r="M44" s="1"/>
      <c r="N44" s="1"/>
      <c r="O44" s="1"/>
      <c r="P44" s="1"/>
      <c r="Q44" s="1"/>
      <c r="S44" s="1">
        <v>37692.769999999997</v>
      </c>
      <c r="T44" s="1"/>
      <c r="U44" s="1"/>
      <c r="V44" s="1"/>
      <c r="W44" s="1"/>
      <c r="Z44" s="1"/>
      <c r="AA44" s="1"/>
      <c r="AF44" s="1"/>
      <c r="AI44" s="1"/>
      <c r="AL44" s="1"/>
      <c r="AM44" s="1"/>
      <c r="AN44" s="1"/>
      <c r="AT44" s="1"/>
      <c r="AU44" s="1"/>
      <c r="AX44" s="1"/>
      <c r="BB44" s="1"/>
      <c r="BI44" s="1"/>
      <c r="CN44" s="1"/>
      <c r="CP44" s="16"/>
      <c r="CZ44" s="16"/>
      <c r="DF44" s="16"/>
    </row>
    <row r="45" spans="1:111" x14ac:dyDescent="0.3">
      <c r="A45" t="s">
        <v>32</v>
      </c>
      <c r="F45" s="1"/>
      <c r="H45" s="1"/>
      <c r="I45" s="1"/>
      <c r="J45" s="1"/>
      <c r="K45" s="1"/>
      <c r="L45" s="1"/>
      <c r="M45" s="1"/>
      <c r="N45" s="1"/>
      <c r="O45" s="1"/>
      <c r="P45" s="1"/>
      <c r="Q45" s="1"/>
      <c r="S45" s="1"/>
      <c r="T45" s="1"/>
      <c r="U45" s="1"/>
      <c r="V45" s="1"/>
      <c r="W45" s="1"/>
      <c r="Z45" s="1"/>
      <c r="AA45" s="1"/>
      <c r="AF45" s="1"/>
      <c r="AI45" s="1"/>
      <c r="AL45" s="1"/>
      <c r="AM45" s="1"/>
      <c r="AN45" s="1"/>
      <c r="AT45" s="1">
        <v>880</v>
      </c>
      <c r="AU45" s="1"/>
      <c r="AX45" s="1"/>
      <c r="BB45" s="1">
        <v>1331.4</v>
      </c>
      <c r="BI45" s="1">
        <v>4166.8999999999996</v>
      </c>
      <c r="CN45" s="1">
        <v>3800</v>
      </c>
      <c r="CZ45" s="16">
        <v>2097.2399999999998</v>
      </c>
      <c r="DF45" s="16"/>
    </row>
    <row r="46" spans="1:111" x14ac:dyDescent="0.3">
      <c r="A46" t="s">
        <v>26</v>
      </c>
      <c r="F46" s="1">
        <v>675</v>
      </c>
      <c r="H46" s="1"/>
      <c r="I46" s="1"/>
      <c r="J46" s="1"/>
      <c r="K46" s="1"/>
      <c r="L46" s="1"/>
      <c r="M46" s="1"/>
      <c r="N46" s="1"/>
      <c r="O46" s="1"/>
      <c r="P46" s="6">
        <v>1175</v>
      </c>
      <c r="Q46" s="1"/>
      <c r="S46" s="1">
        <v>57649.16</v>
      </c>
      <c r="T46" s="1"/>
      <c r="U46" s="1"/>
      <c r="V46" s="1"/>
      <c r="W46" s="1"/>
      <c r="X46" s="6">
        <v>687.85</v>
      </c>
      <c r="Z46" s="1"/>
      <c r="AA46" s="1"/>
      <c r="AF46" s="6">
        <v>513.65</v>
      </c>
      <c r="AI46" s="1"/>
      <c r="AL46" s="6">
        <v>513.70000000000005</v>
      </c>
      <c r="AM46" s="1"/>
      <c r="AN46" s="1"/>
      <c r="AT46" s="6">
        <v>513.75</v>
      </c>
      <c r="AU46" s="1"/>
      <c r="AX46" s="1"/>
      <c r="BB46" s="6">
        <v>513.79999999999995</v>
      </c>
      <c r="BI46" s="6">
        <v>513.75</v>
      </c>
      <c r="CK46" s="9"/>
      <c r="CN46" s="6">
        <v>513.70000000000005</v>
      </c>
      <c r="CZ46" s="54">
        <v>513.70000000000005</v>
      </c>
      <c r="DF46" s="54">
        <v>513.70000000000005</v>
      </c>
    </row>
    <row r="47" spans="1:111" x14ac:dyDescent="0.3">
      <c r="A47" t="s">
        <v>24</v>
      </c>
      <c r="F47" s="1">
        <f>SUM(F30:F46)</f>
        <v>360093.23000000004</v>
      </c>
      <c r="H47" s="1"/>
      <c r="I47" s="1"/>
      <c r="J47" s="1"/>
      <c r="K47" s="1">
        <f>SUM(K30:K46)</f>
        <v>471295.73000000004</v>
      </c>
      <c r="L47" s="1"/>
      <c r="M47" s="1"/>
      <c r="N47" s="1"/>
      <c r="O47" s="1"/>
      <c r="Q47" s="6">
        <f>SUM(P28:P46)</f>
        <v>513343.67999999993</v>
      </c>
      <c r="S47" s="1">
        <v>1601.74</v>
      </c>
      <c r="T47" s="1"/>
      <c r="U47" s="1"/>
      <c r="V47" s="1"/>
      <c r="W47" s="1"/>
      <c r="X47" s="1"/>
      <c r="Y47" s="6">
        <f>SUM(X30:X46)</f>
        <v>538073.96</v>
      </c>
      <c r="Z47" s="1"/>
      <c r="AA47" s="1"/>
      <c r="AF47" s="1"/>
      <c r="AG47" s="6">
        <f>SUM(AF30:AF46)</f>
        <v>678664.17</v>
      </c>
      <c r="AI47" s="1"/>
      <c r="AL47" s="1">
        <f>SUM(AL30:AL46)</f>
        <v>394326.56</v>
      </c>
      <c r="AM47" s="1"/>
      <c r="AN47" s="1"/>
      <c r="AT47" s="1">
        <f>SUM(AT30:AT46)</f>
        <v>358278.97000000003</v>
      </c>
      <c r="AU47" s="1"/>
      <c r="AX47" s="1"/>
      <c r="BB47" s="1">
        <f>SUM(BB30:BB46)</f>
        <v>365070.02999999997</v>
      </c>
      <c r="BC47" s="1" t="s">
        <v>38</v>
      </c>
      <c r="BI47" s="1">
        <f>SUM(BI30:BI46)</f>
        <v>558488.89</v>
      </c>
      <c r="CN47" s="1">
        <f>SUM(CN30:CN46)</f>
        <v>546608.96</v>
      </c>
      <c r="CZ47" s="52">
        <f>SUM(CZ30:CZ46)</f>
        <v>644408.44999999984</v>
      </c>
      <c r="DF47" s="52">
        <f>SUM(DF30:DF46)</f>
        <v>1171843.95</v>
      </c>
      <c r="DG47" s="17"/>
    </row>
    <row r="48" spans="1:111" x14ac:dyDescent="0.3">
      <c r="F48" s="1"/>
      <c r="H48" s="1"/>
      <c r="I48" s="1"/>
      <c r="J48" s="1"/>
      <c r="K48" s="1"/>
      <c r="L48" s="1"/>
      <c r="M48" s="1"/>
      <c r="N48" s="1"/>
      <c r="O48" s="1"/>
      <c r="Q48" s="5"/>
      <c r="S48" s="1"/>
      <c r="T48" s="1"/>
      <c r="U48" s="1"/>
      <c r="V48" s="1"/>
      <c r="W48" s="1"/>
      <c r="X48" s="1"/>
      <c r="Y48" s="5"/>
      <c r="Z48" s="1"/>
      <c r="AA48" s="1"/>
      <c r="AF48" s="1"/>
      <c r="AG48" s="5"/>
      <c r="AI48" s="1"/>
      <c r="AL48" s="1"/>
      <c r="AM48" s="1"/>
      <c r="AN48" s="1"/>
      <c r="AT48" s="1"/>
      <c r="AU48" s="1"/>
      <c r="AX48" s="1"/>
      <c r="BB48" s="1"/>
      <c r="BC48" s="1"/>
      <c r="BI48" s="1"/>
      <c r="CI48" t="s">
        <v>51</v>
      </c>
      <c r="CN48" s="6">
        <v>524.34</v>
      </c>
    </row>
    <row r="49" spans="1:111" x14ac:dyDescent="0.3">
      <c r="F49" s="1"/>
      <c r="H49" s="1"/>
      <c r="I49" s="1"/>
      <c r="J49" s="1"/>
      <c r="K49" s="1"/>
      <c r="L49" s="1"/>
      <c r="M49" s="1"/>
      <c r="N49" s="1"/>
      <c r="O49" s="1"/>
      <c r="P49" s="1"/>
      <c r="Q49" s="1"/>
      <c r="S49" s="1">
        <v>2616.02</v>
      </c>
      <c r="T49" s="1"/>
      <c r="U49" s="1"/>
      <c r="V49" s="1"/>
      <c r="W49" s="1"/>
      <c r="X49" s="1"/>
      <c r="Z49" s="1"/>
      <c r="AA49" s="1"/>
      <c r="AF49" s="1"/>
      <c r="AI49" s="1"/>
      <c r="AL49" s="1"/>
      <c r="AM49" s="1"/>
      <c r="AN49" s="1"/>
      <c r="AT49" s="1"/>
      <c r="AU49" s="1"/>
      <c r="AX49" s="1"/>
      <c r="BB49" s="1"/>
      <c r="BJ49" s="7"/>
      <c r="CI49" t="s">
        <v>50</v>
      </c>
      <c r="CN49" s="1">
        <f>CN47+CN48</f>
        <v>547133.29999999993</v>
      </c>
      <c r="DG49" s="17"/>
    </row>
    <row r="50" spans="1:111" x14ac:dyDescent="0.3">
      <c r="A50" t="s">
        <v>28</v>
      </c>
      <c r="F50" s="1">
        <f>F28+F47</f>
        <v>777446.15500000003</v>
      </c>
      <c r="H50" s="1"/>
      <c r="I50" s="1"/>
      <c r="J50" s="1"/>
      <c r="K50" s="1">
        <f>K28+K47</f>
        <v>507559.20500000007</v>
      </c>
      <c r="L50" s="1"/>
      <c r="M50" s="1"/>
      <c r="N50" s="1"/>
      <c r="O50" s="1"/>
      <c r="P50" s="1"/>
      <c r="Q50" s="1">
        <f>Q28+Q47</f>
        <v>553434.78999999992</v>
      </c>
      <c r="S50" s="6">
        <v>1850</v>
      </c>
      <c r="T50" s="1"/>
      <c r="U50" s="1"/>
      <c r="V50" s="1"/>
      <c r="W50" s="1"/>
      <c r="X50" s="1"/>
      <c r="Y50" s="1">
        <f>Y15+Y16+Y47</f>
        <v>577590.23</v>
      </c>
      <c r="AG50" s="1">
        <f>AG15+AG16+AF30+AF37+AF34+AF33+AF36+AF32+AF38+AF31+AF40+AF43+AF41+AF46+AF39+AF35</f>
        <v>719796.92</v>
      </c>
      <c r="AI50" s="1"/>
      <c r="AL50" s="1">
        <f>AL14+AL30+AL37+AL34+AL35+AL33+AL36+AL31+AL41+AL40+AL46+AL39+AL16</f>
        <v>436287.88500000001</v>
      </c>
      <c r="AM50" s="1"/>
      <c r="AN50" s="1"/>
      <c r="AT50" s="1"/>
      <c r="AU50" s="1"/>
      <c r="BB50" s="1">
        <f>BB47</f>
        <v>365070.02999999997</v>
      </c>
      <c r="BI50" s="1">
        <f>BI15+BI16+BI25+BI47</f>
        <v>670533.58499999996</v>
      </c>
      <c r="BJ50" s="17"/>
      <c r="CN50" s="1">
        <f>+CN49+CN28</f>
        <v>599287.3899999999</v>
      </c>
      <c r="CZ50" s="17">
        <f>+CZ47+CZ28+DA28</f>
        <v>685462.46999999986</v>
      </c>
      <c r="DA50" t="s">
        <v>62</v>
      </c>
      <c r="DF50" s="17">
        <f>+DF47+DF28</f>
        <v>1352178.81</v>
      </c>
    </row>
    <row r="51" spans="1:111" x14ac:dyDescent="0.3">
      <c r="A51" s="4" t="s">
        <v>29</v>
      </c>
      <c r="F51" s="1">
        <v>777446.17</v>
      </c>
      <c r="H51" s="1"/>
      <c r="I51" s="1"/>
      <c r="J51" s="1"/>
      <c r="K51" s="3">
        <v>507559.21</v>
      </c>
      <c r="L51" s="1"/>
      <c r="M51" s="1"/>
      <c r="N51" s="1"/>
      <c r="O51" s="1"/>
      <c r="P51" s="1"/>
      <c r="Q51" s="3">
        <v>553434.80000000005</v>
      </c>
      <c r="S51" s="1">
        <f>SUM(S33:S50)</f>
        <v>553434.80000000005</v>
      </c>
      <c r="T51" s="1"/>
      <c r="U51" s="1"/>
      <c r="V51" s="1"/>
      <c r="W51" s="1"/>
      <c r="X51" s="1"/>
      <c r="Y51" s="3">
        <f>Y50</f>
        <v>577590.23</v>
      </c>
      <c r="AG51" s="3">
        <v>719796.93</v>
      </c>
      <c r="AI51" s="1"/>
      <c r="AL51" s="3">
        <v>436287.89</v>
      </c>
      <c r="AM51" s="1"/>
      <c r="AN51" s="1"/>
      <c r="AT51" s="1"/>
      <c r="AU51" s="1"/>
      <c r="BB51" s="3">
        <f>BB50</f>
        <v>365070.02999999997</v>
      </c>
      <c r="BI51" s="3">
        <v>670533.59</v>
      </c>
      <c r="BL51" s="1"/>
      <c r="CN51" s="3">
        <v>599287.38</v>
      </c>
      <c r="CZ51" s="16">
        <v>685462.48</v>
      </c>
      <c r="DF51" s="16">
        <v>1352178.82</v>
      </c>
    </row>
    <row r="52" spans="1:111" x14ac:dyDescent="0.3">
      <c r="L52" s="1"/>
      <c r="M52" s="1"/>
      <c r="N52" s="1"/>
      <c r="O52" s="1"/>
      <c r="P52" s="1"/>
      <c r="Q52" s="1"/>
      <c r="T52" s="1"/>
      <c r="U52" s="1"/>
      <c r="V52" s="1"/>
      <c r="W52" s="1"/>
      <c r="X52" s="1"/>
      <c r="AI52" s="1"/>
      <c r="AL52" s="6">
        <f>58507.39+4857.1</f>
        <v>63364.49</v>
      </c>
      <c r="AM52" t="s">
        <v>31</v>
      </c>
      <c r="AT52" s="1"/>
      <c r="AU52" s="1"/>
      <c r="BI52" s="1"/>
      <c r="BL52" s="1"/>
      <c r="CZ52" s="17">
        <f>+CZ50-CZ51</f>
        <v>-1.0000000125728548E-2</v>
      </c>
      <c r="DF52" s="17">
        <f>+DF50-DF51</f>
        <v>-1.0000000009313226E-2</v>
      </c>
    </row>
    <row r="53" spans="1:111" x14ac:dyDescent="0.3">
      <c r="L53" s="1"/>
      <c r="M53" s="1"/>
      <c r="T53" s="1"/>
      <c r="U53" s="1"/>
      <c r="V53" s="1"/>
      <c r="W53" s="1"/>
      <c r="X53" s="1"/>
      <c r="AI53" s="1"/>
      <c r="AL53" s="1">
        <f>AL51+AL52</f>
        <v>499652.38</v>
      </c>
      <c r="AN53" s="1"/>
      <c r="CZ53" s="17"/>
    </row>
    <row r="54" spans="1:111" x14ac:dyDescent="0.3">
      <c r="M54" s="1"/>
      <c r="AL54" s="6">
        <v>499649.28000000003</v>
      </c>
      <c r="AM54" t="s">
        <v>33</v>
      </c>
    </row>
    <row r="55" spans="1:111" x14ac:dyDescent="0.3">
      <c r="M55" s="1"/>
      <c r="AL55" s="1">
        <f>AL53-AL54</f>
        <v>3.0999999999767169</v>
      </c>
      <c r="AM55" t="s">
        <v>34</v>
      </c>
    </row>
    <row r="56" spans="1:111" x14ac:dyDescent="0.3">
      <c r="M56" s="1"/>
    </row>
    <row r="57" spans="1:111" x14ac:dyDescent="0.3">
      <c r="M57" s="1"/>
    </row>
    <row r="58" spans="1:111" x14ac:dyDescent="0.3">
      <c r="M58" s="1"/>
    </row>
  </sheetData>
  <mergeCells count="16">
    <mergeCell ref="DC1:DF1"/>
    <mergeCell ref="C1:F1"/>
    <mergeCell ref="H1:K1"/>
    <mergeCell ref="M1:P1"/>
    <mergeCell ref="U1:X1"/>
    <mergeCell ref="AC1:AF1"/>
    <mergeCell ref="CW1:CZ1"/>
    <mergeCell ref="BL1:BO1"/>
    <mergeCell ref="AY1:BB1"/>
    <mergeCell ref="AR1:AU1"/>
    <mergeCell ref="AI1:AL1"/>
    <mergeCell ref="CP1:CR1"/>
    <mergeCell ref="CD1:CG1"/>
    <mergeCell ref="CI1:CL1"/>
    <mergeCell ref="BX1:CA1"/>
    <mergeCell ref="BS1:BV1"/>
  </mergeCells>
  <pageMargins left="0.7" right="0.7" top="0.75" bottom="0.75" header="0.3" footer="0.3"/>
  <pageSetup scale="87" orientation="portrait" r:id="rId1"/>
  <headerFooter>
    <oddHeader>&amp;R&amp;D</oddHeader>
    <oddFooter>&amp;L&amp;Z&amp;F&amp;RPGE Cust#1596, Location: 4400007460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ABAG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</dc:creator>
  <cp:lastModifiedBy>CindyC</cp:lastModifiedBy>
  <cp:lastPrinted>2017-01-20T19:36:33Z</cp:lastPrinted>
  <dcterms:created xsi:type="dcterms:W3CDTF">2016-02-13T00:09:45Z</dcterms:created>
  <dcterms:modified xsi:type="dcterms:W3CDTF">2017-01-20T23:02:07Z</dcterms:modified>
</cp:coreProperties>
</file>