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H3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L25" i="1" l="1"/>
  <c r="L24" i="1"/>
  <c r="K24" i="1"/>
  <c r="J24" i="1"/>
  <c r="I24" i="1"/>
  <c r="G24" i="1"/>
  <c r="E25" i="1"/>
  <c r="E24" i="1"/>
  <c r="K23" i="1"/>
  <c r="J23" i="1"/>
  <c r="I23" i="1"/>
  <c r="G23" i="1"/>
  <c r="L23" i="1" s="1"/>
  <c r="J22" i="1"/>
  <c r="I22" i="1"/>
  <c r="K22" i="1"/>
  <c r="G22" i="1"/>
  <c r="E22" i="1"/>
  <c r="L20" i="1"/>
  <c r="K19" i="1"/>
  <c r="J19" i="1"/>
  <c r="I19" i="1"/>
  <c r="G19" i="1"/>
  <c r="E21" i="1"/>
  <c r="L21" i="1" s="1"/>
  <c r="E19" i="1"/>
  <c r="L19" i="1" s="1"/>
  <c r="J17" i="1"/>
  <c r="I17" i="1"/>
  <c r="J15" i="1"/>
  <c r="I15" i="1"/>
  <c r="J14" i="1"/>
  <c r="I14" i="1"/>
  <c r="J13" i="1"/>
  <c r="I13" i="1"/>
  <c r="J11" i="1"/>
  <c r="I11" i="1"/>
  <c r="J10" i="1"/>
  <c r="I10" i="1"/>
  <c r="J8" i="1"/>
  <c r="I8" i="1"/>
  <c r="J5" i="1"/>
  <c r="I5" i="1"/>
  <c r="J4" i="1"/>
  <c r="I4" i="1"/>
  <c r="J3" i="1"/>
  <c r="I3" i="1"/>
  <c r="L13" i="1"/>
  <c r="K17" i="1"/>
  <c r="G17" i="1"/>
  <c r="E18" i="1"/>
  <c r="L18" i="1" s="1"/>
  <c r="E17" i="1"/>
  <c r="L17" i="1" s="1"/>
  <c r="K15" i="1"/>
  <c r="G15" i="1"/>
  <c r="E16" i="1"/>
  <c r="L16" i="1" s="1"/>
  <c r="E15" i="1"/>
  <c r="L15" i="1" s="1"/>
  <c r="K14" i="1"/>
  <c r="G14" i="1"/>
  <c r="E14" i="1"/>
  <c r="L14" i="1" s="1"/>
  <c r="K13" i="1"/>
  <c r="K11" i="1"/>
  <c r="K8" i="1"/>
  <c r="K5" i="1"/>
  <c r="K4" i="1"/>
  <c r="K3" i="1"/>
  <c r="G11" i="1"/>
  <c r="E12" i="1"/>
  <c r="L12" i="1" s="1"/>
  <c r="E11" i="1"/>
  <c r="L11" i="1" s="1"/>
  <c r="G10" i="1"/>
  <c r="E10" i="1"/>
  <c r="G8" i="1"/>
  <c r="E9" i="1"/>
  <c r="L9" i="1" s="1"/>
  <c r="E8" i="1"/>
  <c r="L8" i="1" s="1"/>
  <c r="G7" i="1"/>
  <c r="G6" i="1"/>
  <c r="G5" i="1"/>
  <c r="L5" i="1" s="1"/>
  <c r="E7" i="1"/>
  <c r="L7" i="1" s="1"/>
  <c r="E6" i="1"/>
  <c r="G4" i="1"/>
  <c r="E4" i="1"/>
  <c r="G3" i="1"/>
  <c r="E3" i="1"/>
  <c r="L3" i="1" s="1"/>
  <c r="L4" i="1" l="1"/>
  <c r="L6" i="1"/>
  <c r="L10" i="1"/>
  <c r="L22" i="1"/>
</calcChain>
</file>

<file path=xl/sharedStrings.xml><?xml version="1.0" encoding="utf-8"?>
<sst xmlns="http://schemas.openxmlformats.org/spreadsheetml/2006/main" count="57" uniqueCount="30">
  <si>
    <t>Individual</t>
  </si>
  <si>
    <t>Rate</t>
  </si>
  <si>
    <t>Hours</t>
  </si>
  <si>
    <t>Year</t>
  </si>
  <si>
    <t>Jerry</t>
  </si>
  <si>
    <t>Rate1</t>
  </si>
  <si>
    <t>Hours1</t>
  </si>
  <si>
    <t>Jan-June</t>
  </si>
  <si>
    <t>July-Dec</t>
  </si>
  <si>
    <t>Jenny</t>
  </si>
  <si>
    <t>Daniel</t>
  </si>
  <si>
    <t>Labor Cost</t>
  </si>
  <si>
    <t>Average Rate</t>
  </si>
  <si>
    <t>Susan</t>
  </si>
  <si>
    <t>Class</t>
  </si>
  <si>
    <t>Energy Programs Manager</t>
  </si>
  <si>
    <t>BayREN Program Manager</t>
  </si>
  <si>
    <t>BayREN Project Manager</t>
  </si>
  <si>
    <t>Assistant Finance Director</t>
  </si>
  <si>
    <t>Lucy</t>
  </si>
  <si>
    <t>Senior Accountant</t>
  </si>
  <si>
    <t>Karina</t>
  </si>
  <si>
    <t>Accountant</t>
  </si>
  <si>
    <t>Bryan</t>
  </si>
  <si>
    <t>Supply Clerk</t>
  </si>
  <si>
    <t>Ryan</t>
  </si>
  <si>
    <t>Min Rate</t>
  </si>
  <si>
    <t>Max Rate</t>
  </si>
  <si>
    <t>Program Coordinator</t>
  </si>
  <si>
    <t>Total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</si>
</sst>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3" xfId="0" applyBorder="1" applyAlignment="1">
      <alignment horizontal="center"/>
    </xf>
    <xf numFmtId="164" fontId="0" fillId="0" borderId="4" xfId="0" applyNumberFormat="1" applyBorder="1"/>
    <xf numFmtId="2" fontId="0" fillId="0" borderId="5" xfId="0" applyNumberFormat="1" applyBorder="1"/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6" xfId="0" applyBorder="1"/>
    <xf numFmtId="0" fontId="0" fillId="0" borderId="0" xfId="0" applyBorder="1"/>
    <xf numFmtId="0" fontId="0" fillId="0" borderId="11" xfId="0" applyBorder="1"/>
    <xf numFmtId="0" fontId="0" fillId="0" borderId="11" xfId="0" applyFill="1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9" xfId="0" applyFill="1" applyBorder="1"/>
    <xf numFmtId="0" fontId="0" fillId="0" borderId="6" xfId="0" applyFill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Border="1"/>
    <xf numFmtId="164" fontId="0" fillId="0" borderId="0" xfId="0" applyNumberFormat="1"/>
    <xf numFmtId="164" fontId="0" fillId="2" borderId="6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Fill="1" applyBorder="1"/>
    <xf numFmtId="0" fontId="0" fillId="0" borderId="0" xfId="0" applyFill="1"/>
    <xf numFmtId="164" fontId="0" fillId="0" borderId="4" xfId="0" applyNumberFormat="1" applyFill="1" applyBorder="1"/>
    <xf numFmtId="2" fontId="0" fillId="0" borderId="5" xfId="0" applyNumberFormat="1" applyFill="1" applyBorder="1"/>
    <xf numFmtId="2" fontId="0" fillId="0" borderId="15" xfId="0" applyNumberFormat="1" applyFill="1" applyBorder="1"/>
    <xf numFmtId="164" fontId="0" fillId="0" borderId="0" xfId="0" applyNumberFormat="1" applyFill="1" applyBorder="1"/>
    <xf numFmtId="164" fontId="0" fillId="0" borderId="0" xfId="0" applyNumberFormat="1" applyFill="1"/>
    <xf numFmtId="0" fontId="0" fillId="0" borderId="1" xfId="0" applyFill="1" applyBorder="1"/>
    <xf numFmtId="164" fontId="0" fillId="0" borderId="10" xfId="0" applyNumberFormat="1" applyFill="1" applyBorder="1"/>
    <xf numFmtId="2" fontId="0" fillId="0" borderId="12" xfId="0" applyNumberFormat="1" applyFill="1" applyBorder="1"/>
    <xf numFmtId="2" fontId="0" fillId="0" borderId="1" xfId="0" applyNumberFormat="1" applyFill="1" applyBorder="1"/>
    <xf numFmtId="164" fontId="0" fillId="0" borderId="11" xfId="0" applyNumberFormat="1" applyFill="1" applyBorder="1"/>
    <xf numFmtId="164" fontId="0" fillId="0" borderId="2" xfId="0" applyNumberFormat="1" applyFill="1" applyBorder="1"/>
    <xf numFmtId="2" fontId="0" fillId="0" borderId="3" xfId="0" applyNumberFormat="1" applyFill="1" applyBorder="1"/>
    <xf numFmtId="2" fontId="0" fillId="0" borderId="13" xfId="0" applyNumberFormat="1" applyFill="1" applyBorder="1" applyAlignment="1">
      <alignment horizontal="right" vertical="center"/>
    </xf>
    <xf numFmtId="164" fontId="0" fillId="0" borderId="9" xfId="0" applyNumberFormat="1" applyFill="1" applyBorder="1" applyAlignment="1">
      <alignment horizontal="right" vertical="center"/>
    </xf>
    <xf numFmtId="164" fontId="0" fillId="0" borderId="9" xfId="0" applyNumberFormat="1" applyFill="1" applyBorder="1"/>
    <xf numFmtId="0" fontId="0" fillId="0" borderId="0" xfId="0" applyFill="1" applyBorder="1"/>
    <xf numFmtId="2" fontId="0" fillId="0" borderId="15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164" fontId="0" fillId="0" borderId="7" xfId="0" applyNumberFormat="1" applyFill="1" applyBorder="1"/>
    <xf numFmtId="2" fontId="0" fillId="0" borderId="8" xfId="0" applyNumberFormat="1" applyFill="1" applyBorder="1"/>
    <xf numFmtId="2" fontId="0" fillId="0" borderId="14" xfId="0" applyNumberFormat="1" applyFill="1" applyBorder="1" applyAlignment="1">
      <alignment horizontal="right" vertical="center"/>
    </xf>
    <xf numFmtId="164" fontId="0" fillId="0" borderId="6" xfId="0" applyNumberFormat="1" applyFill="1" applyBorder="1" applyAlignment="1">
      <alignment horizontal="right" vertical="center"/>
    </xf>
    <xf numFmtId="164" fontId="0" fillId="0" borderId="6" xfId="0" applyNumberFormat="1" applyFill="1" applyBorder="1"/>
    <xf numFmtId="164" fontId="0" fillId="0" borderId="2" xfId="0" applyNumberFormat="1" applyFill="1" applyBorder="1" applyAlignment="1">
      <alignment horizontal="right" vertical="center"/>
    </xf>
    <xf numFmtId="164" fontId="0" fillId="0" borderId="4" xfId="0" applyNumberFormat="1" applyFill="1" applyBorder="1" applyAlignment="1">
      <alignment horizontal="right" vertical="center"/>
    </xf>
    <xf numFmtId="164" fontId="0" fillId="0" borderId="7" xfId="0" applyNumberForma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N11" sqref="N11"/>
    </sheetView>
  </sheetViews>
  <sheetFormatPr defaultRowHeight="15" x14ac:dyDescent="0.25"/>
  <cols>
    <col min="1" max="1" width="5" style="20" bestFit="1" customWidth="1"/>
    <col min="2" max="2" width="9.85546875" bestFit="1" customWidth="1"/>
    <col min="3" max="3" width="24.28515625" bestFit="1" customWidth="1"/>
    <col min="4" max="4" width="7.5703125" style="2" bestFit="1" customWidth="1"/>
    <col min="5" max="5" width="6.5703125" style="3" bestFit="1" customWidth="1"/>
    <col min="6" max="6" width="7.5703125" style="2" bestFit="1" customWidth="1"/>
    <col min="7" max="7" width="7.140625" style="3" bestFit="1" customWidth="1"/>
    <col min="8" max="8" width="11" style="3" bestFit="1" customWidth="1"/>
    <col min="9" max="9" width="8.85546875" style="25" bestFit="1" customWidth="1"/>
    <col min="10" max="10" width="9.140625" style="25" bestFit="1" customWidth="1"/>
    <col min="11" max="11" width="12.7109375" style="13" bestFit="1" customWidth="1"/>
    <col min="12" max="12" width="11.140625" style="21" bestFit="1" customWidth="1"/>
  </cols>
  <sheetData>
    <row r="1" spans="1:12" x14ac:dyDescent="0.25">
      <c r="A1" s="16"/>
      <c r="D1" s="26" t="s">
        <v>7</v>
      </c>
      <c r="E1" s="27"/>
      <c r="F1" s="26" t="s">
        <v>8</v>
      </c>
      <c r="G1" s="27"/>
      <c r="H1" s="1"/>
      <c r="I1" s="23"/>
      <c r="J1" s="23"/>
      <c r="K1" s="12"/>
    </row>
    <row r="2" spans="1:12" s="4" customFormat="1" ht="15.75" thickBot="1" x14ac:dyDescent="0.3">
      <c r="A2" s="17" t="s">
        <v>3</v>
      </c>
      <c r="B2" s="4" t="s">
        <v>0</v>
      </c>
      <c r="C2" s="4" t="s">
        <v>14</v>
      </c>
      <c r="D2" s="5" t="s">
        <v>1</v>
      </c>
      <c r="E2" s="6" t="s">
        <v>2</v>
      </c>
      <c r="F2" s="5" t="s">
        <v>5</v>
      </c>
      <c r="G2" s="6" t="s">
        <v>6</v>
      </c>
      <c r="H2" s="6" t="s">
        <v>29</v>
      </c>
      <c r="I2" s="24" t="s">
        <v>26</v>
      </c>
      <c r="J2" s="24" t="s">
        <v>27</v>
      </c>
      <c r="K2" s="22" t="s">
        <v>12</v>
      </c>
      <c r="L2" s="22" t="s">
        <v>11</v>
      </c>
    </row>
    <row r="3" spans="1:12" ht="15.75" thickBot="1" x14ac:dyDescent="0.3">
      <c r="A3" s="28">
        <v>2014</v>
      </c>
      <c r="B3" s="29" t="s">
        <v>4</v>
      </c>
      <c r="C3" s="29" t="s">
        <v>15</v>
      </c>
      <c r="D3" s="30">
        <v>174.5</v>
      </c>
      <c r="E3" s="31">
        <f>62+62+70+77+75+66</f>
        <v>412</v>
      </c>
      <c r="F3" s="30">
        <v>176.49</v>
      </c>
      <c r="G3" s="31">
        <f>65+51+63+59+55+56</f>
        <v>349</v>
      </c>
      <c r="H3" s="31">
        <f>E3+G3</f>
        <v>761</v>
      </c>
      <c r="I3" s="32">
        <f>MIN(F3,D3)</f>
        <v>174.5</v>
      </c>
      <c r="J3" s="32">
        <f>MAX(F3,D3)</f>
        <v>176.49</v>
      </c>
      <c r="K3" s="33">
        <f>AVERAGE(F3,D3)</f>
        <v>175.495</v>
      </c>
      <c r="L3" s="34">
        <f>(D3*E3)+(F3*G3)</f>
        <v>133489.01</v>
      </c>
    </row>
    <row r="4" spans="1:12" s="10" customFormat="1" ht="15.75" thickBot="1" x14ac:dyDescent="0.3">
      <c r="A4" s="35">
        <v>2014</v>
      </c>
      <c r="B4" s="11" t="s">
        <v>9</v>
      </c>
      <c r="C4" s="11" t="s">
        <v>16</v>
      </c>
      <c r="D4" s="36">
        <v>119.42</v>
      </c>
      <c r="E4" s="37">
        <f>145+168+160+136+168+93</f>
        <v>870</v>
      </c>
      <c r="F4" s="36">
        <v>120.79</v>
      </c>
      <c r="G4" s="37">
        <f>172+129+152+169+120+141</f>
        <v>883</v>
      </c>
      <c r="H4" s="37">
        <f>G4+E4</f>
        <v>1753</v>
      </c>
      <c r="I4" s="38">
        <f>MIN(F4,D4)</f>
        <v>119.42</v>
      </c>
      <c r="J4" s="38">
        <f>MAX(D4,F4)</f>
        <v>120.79</v>
      </c>
      <c r="K4" s="39">
        <f>AVERAGE(F4,D4)</f>
        <v>120.105</v>
      </c>
      <c r="L4" s="39">
        <f t="shared" ref="L4:L25" si="0">(D4*E4)+(F4*G4)</f>
        <v>210552.97000000003</v>
      </c>
    </row>
    <row r="5" spans="1:12" s="7" customFormat="1" x14ac:dyDescent="0.25">
      <c r="A5" s="18">
        <v>2014</v>
      </c>
      <c r="B5" s="14" t="s">
        <v>10</v>
      </c>
      <c r="C5" s="14" t="s">
        <v>17</v>
      </c>
      <c r="D5" s="40">
        <v>111.37</v>
      </c>
      <c r="E5" s="41">
        <v>139.19999999999999</v>
      </c>
      <c r="F5" s="40">
        <v>117.9</v>
      </c>
      <c r="G5" s="41">
        <f>96+165</f>
        <v>261</v>
      </c>
      <c r="H5" s="41">
        <f t="shared" ref="H5:H25" si="1">G5+E5</f>
        <v>400.2</v>
      </c>
      <c r="I5" s="42">
        <f>MIN(D5:D7,F5:F7)</f>
        <v>99.39</v>
      </c>
      <c r="J5" s="42">
        <f>MAX(F5:F7,D5:D7)</f>
        <v>118.16</v>
      </c>
      <c r="K5" s="43">
        <f>AVERAGE(D5:D7,F5:F7)</f>
        <v>111.17833333333333</v>
      </c>
      <c r="L5" s="44">
        <f t="shared" si="0"/>
        <v>46274.603999999999</v>
      </c>
    </row>
    <row r="6" spans="1:12" s="9" customFormat="1" x14ac:dyDescent="0.25">
      <c r="A6" s="28">
        <v>2014</v>
      </c>
      <c r="B6" s="45" t="s">
        <v>10</v>
      </c>
      <c r="C6" s="45" t="s">
        <v>17</v>
      </c>
      <c r="D6" s="30">
        <v>107.71</v>
      </c>
      <c r="E6" s="31">
        <f>145.5+156+88+161</f>
        <v>550.5</v>
      </c>
      <c r="F6" s="30">
        <v>118.16</v>
      </c>
      <c r="G6" s="31">
        <f>133</f>
        <v>133</v>
      </c>
      <c r="H6" s="31">
        <f t="shared" si="1"/>
        <v>683.5</v>
      </c>
      <c r="I6" s="46"/>
      <c r="J6" s="46"/>
      <c r="K6" s="47"/>
      <c r="L6" s="33">
        <f t="shared" si="0"/>
        <v>75009.634999999995</v>
      </c>
    </row>
    <row r="7" spans="1:12" s="8" customFormat="1" ht="15.75" thickBot="1" x14ac:dyDescent="0.3">
      <c r="A7" s="19">
        <v>2014</v>
      </c>
      <c r="B7" s="15" t="s">
        <v>10</v>
      </c>
      <c r="C7" s="15" t="s">
        <v>17</v>
      </c>
      <c r="D7" s="48">
        <v>112.54</v>
      </c>
      <c r="E7" s="49">
        <f>160</f>
        <v>160</v>
      </c>
      <c r="F7" s="48">
        <v>99.39</v>
      </c>
      <c r="G7" s="49">
        <f>172+132+80</f>
        <v>384</v>
      </c>
      <c r="H7" s="49">
        <f t="shared" si="1"/>
        <v>544</v>
      </c>
      <c r="I7" s="50"/>
      <c r="J7" s="50"/>
      <c r="K7" s="51"/>
      <c r="L7" s="52">
        <f t="shared" si="0"/>
        <v>56172.160000000003</v>
      </c>
    </row>
    <row r="8" spans="1:12" s="7" customFormat="1" x14ac:dyDescent="0.25">
      <c r="A8" s="18">
        <v>2014</v>
      </c>
      <c r="B8" s="14" t="s">
        <v>13</v>
      </c>
      <c r="C8" s="14" t="s">
        <v>18</v>
      </c>
      <c r="D8" s="40">
        <v>155</v>
      </c>
      <c r="E8" s="41">
        <f>1+2.5</f>
        <v>3.5</v>
      </c>
      <c r="F8" s="40">
        <v>156.88</v>
      </c>
      <c r="G8" s="41">
        <f>2+2+2+1+2+2</f>
        <v>11</v>
      </c>
      <c r="H8" s="41">
        <f t="shared" si="1"/>
        <v>14.5</v>
      </c>
      <c r="I8" s="42">
        <f>MIN(F8:F9,D8:D9)</f>
        <v>155</v>
      </c>
      <c r="J8" s="42">
        <f>MAX(D8:D9,F8:F9)</f>
        <v>156.88</v>
      </c>
      <c r="K8" s="43">
        <f>AVERAGE(D8:D9,F8)</f>
        <v>155.68333333333331</v>
      </c>
      <c r="L8" s="44">
        <f t="shared" si="0"/>
        <v>2268.1799999999998</v>
      </c>
    </row>
    <row r="9" spans="1:12" s="8" customFormat="1" ht="15.75" thickBot="1" x14ac:dyDescent="0.3">
      <c r="A9" s="19">
        <v>2014</v>
      </c>
      <c r="B9" s="15" t="s">
        <v>13</v>
      </c>
      <c r="C9" s="15" t="s">
        <v>18</v>
      </c>
      <c r="D9" s="48">
        <v>155.16999999999999</v>
      </c>
      <c r="E9" s="49">
        <f>3.5+2+2+0.5</f>
        <v>8</v>
      </c>
      <c r="F9" s="48"/>
      <c r="G9" s="49"/>
      <c r="H9" s="49">
        <f t="shared" si="1"/>
        <v>8</v>
      </c>
      <c r="I9" s="50"/>
      <c r="J9" s="50"/>
      <c r="K9" s="51"/>
      <c r="L9" s="52">
        <f t="shared" si="0"/>
        <v>1241.3599999999999</v>
      </c>
    </row>
    <row r="10" spans="1:12" s="10" customFormat="1" ht="15.75" thickBot="1" x14ac:dyDescent="0.3">
      <c r="A10" s="35">
        <v>2014</v>
      </c>
      <c r="B10" s="11" t="s">
        <v>19</v>
      </c>
      <c r="C10" s="11" t="s">
        <v>20</v>
      </c>
      <c r="D10" s="36">
        <v>107.53</v>
      </c>
      <c r="E10" s="37">
        <f>10+10+10+16+16+13</f>
        <v>75</v>
      </c>
      <c r="F10" s="36">
        <v>108.76</v>
      </c>
      <c r="G10" s="37">
        <f>10+12+12+15+8+13</f>
        <v>70</v>
      </c>
      <c r="H10" s="37">
        <f t="shared" si="1"/>
        <v>145</v>
      </c>
      <c r="I10" s="38">
        <f>MIN(F10,D10)</f>
        <v>107.53</v>
      </c>
      <c r="J10" s="38">
        <f>MAX(F10,D10)</f>
        <v>108.76</v>
      </c>
      <c r="K10" s="39"/>
      <c r="L10" s="39">
        <f t="shared" si="0"/>
        <v>15677.95</v>
      </c>
    </row>
    <row r="11" spans="1:12" s="7" customFormat="1" x14ac:dyDescent="0.25">
      <c r="A11" s="18">
        <v>2014</v>
      </c>
      <c r="B11" s="14" t="s">
        <v>21</v>
      </c>
      <c r="C11" s="14" t="s">
        <v>22</v>
      </c>
      <c r="D11" s="40">
        <v>79.95</v>
      </c>
      <c r="E11" s="41">
        <f>2+1.75</f>
        <v>3.75</v>
      </c>
      <c r="F11" s="40">
        <v>83.82</v>
      </c>
      <c r="G11" s="41">
        <f>8+4.5+8+6</f>
        <v>26.5</v>
      </c>
      <c r="H11" s="41">
        <f t="shared" si="1"/>
        <v>30.25</v>
      </c>
      <c r="I11" s="42">
        <f>MIN(F11:F12,D11:D12)</f>
        <v>79.95</v>
      </c>
      <c r="J11" s="42">
        <f>MAX(F11:F12,D11:D12)</f>
        <v>83.82</v>
      </c>
      <c r="K11" s="43">
        <f>AVERAGE(F11,D11:D12)</f>
        <v>82.206666666666663</v>
      </c>
      <c r="L11" s="44">
        <f t="shared" si="0"/>
        <v>2521.0425</v>
      </c>
    </row>
    <row r="12" spans="1:12" s="8" customFormat="1" ht="15.75" thickBot="1" x14ac:dyDescent="0.3">
      <c r="A12" s="19">
        <v>2014</v>
      </c>
      <c r="B12" s="15" t="s">
        <v>21</v>
      </c>
      <c r="C12" s="15" t="s">
        <v>22</v>
      </c>
      <c r="D12" s="48">
        <v>82.85</v>
      </c>
      <c r="E12" s="49">
        <f>5.5+5+2.5+4</f>
        <v>17</v>
      </c>
      <c r="F12" s="48"/>
      <c r="G12" s="49"/>
      <c r="H12" s="49">
        <f t="shared" si="1"/>
        <v>17</v>
      </c>
      <c r="I12" s="50"/>
      <c r="J12" s="50"/>
      <c r="K12" s="51"/>
      <c r="L12" s="52">
        <f t="shared" si="0"/>
        <v>1408.4499999999998</v>
      </c>
    </row>
    <row r="13" spans="1:12" s="10" customFormat="1" ht="15.75" thickBot="1" x14ac:dyDescent="0.3">
      <c r="A13" s="35">
        <v>2014</v>
      </c>
      <c r="B13" s="11" t="s">
        <v>23</v>
      </c>
      <c r="C13" s="11" t="s">
        <v>24</v>
      </c>
      <c r="D13" s="36">
        <v>71.760000000000005</v>
      </c>
      <c r="E13" s="37">
        <v>1</v>
      </c>
      <c r="F13" s="36"/>
      <c r="G13" s="37"/>
      <c r="H13" s="37">
        <f t="shared" si="1"/>
        <v>1</v>
      </c>
      <c r="I13" s="38">
        <f>MIN(F13,D13)</f>
        <v>71.760000000000005</v>
      </c>
      <c r="J13" s="38">
        <f>MAX(F13,D13)</f>
        <v>71.760000000000005</v>
      </c>
      <c r="K13" s="39">
        <f>AVERAGE(D13)</f>
        <v>71.760000000000005</v>
      </c>
      <c r="L13" s="39">
        <f t="shared" si="0"/>
        <v>71.760000000000005</v>
      </c>
    </row>
    <row r="14" spans="1:12" s="10" customFormat="1" ht="15.75" thickBot="1" x14ac:dyDescent="0.3">
      <c r="A14" s="35">
        <v>2014</v>
      </c>
      <c r="B14" s="11" t="s">
        <v>25</v>
      </c>
      <c r="C14" s="11" t="s">
        <v>28</v>
      </c>
      <c r="D14" s="36">
        <v>68.099999999999994</v>
      </c>
      <c r="E14" s="37">
        <f>1.5</f>
        <v>1.5</v>
      </c>
      <c r="F14" s="36">
        <v>71.84</v>
      </c>
      <c r="G14" s="37">
        <f>5.5</f>
        <v>5.5</v>
      </c>
      <c r="H14" s="37">
        <f t="shared" si="1"/>
        <v>7</v>
      </c>
      <c r="I14" s="38">
        <f>MIN(D14,F14)</f>
        <v>68.099999999999994</v>
      </c>
      <c r="J14" s="38">
        <f>MAX(F14,D14)</f>
        <v>71.84</v>
      </c>
      <c r="K14" s="39">
        <f>AVERAGE(F14,D14)</f>
        <v>69.97</v>
      </c>
      <c r="L14" s="39">
        <f t="shared" si="0"/>
        <v>497.27</v>
      </c>
    </row>
    <row r="15" spans="1:12" s="7" customFormat="1" x14ac:dyDescent="0.25">
      <c r="A15" s="18">
        <v>2015</v>
      </c>
      <c r="B15" s="14" t="s">
        <v>4</v>
      </c>
      <c r="C15" s="14" t="s">
        <v>15</v>
      </c>
      <c r="D15" s="40">
        <v>176.46</v>
      </c>
      <c r="E15" s="41">
        <f>53+58+77</f>
        <v>188</v>
      </c>
      <c r="F15" s="40">
        <v>176.72</v>
      </c>
      <c r="G15" s="41">
        <f>128+61+53+69</f>
        <v>311</v>
      </c>
      <c r="H15" s="41">
        <f t="shared" si="1"/>
        <v>499</v>
      </c>
      <c r="I15" s="42">
        <f>MIN(F15:F16,D15:D16)</f>
        <v>176.46</v>
      </c>
      <c r="J15" s="42">
        <f>MAX(F15:F16,D15:D16)</f>
        <v>180.68</v>
      </c>
      <c r="K15" s="43">
        <f>AVERAGE(F15,D15:D16)</f>
        <v>177.95333333333335</v>
      </c>
      <c r="L15" s="44">
        <f t="shared" si="0"/>
        <v>88134.399999999994</v>
      </c>
    </row>
    <row r="16" spans="1:12" s="8" customFormat="1" ht="15.75" thickBot="1" x14ac:dyDescent="0.3">
      <c r="A16" s="19">
        <v>2015</v>
      </c>
      <c r="B16" s="15" t="s">
        <v>4</v>
      </c>
      <c r="C16" s="15" t="s">
        <v>15</v>
      </c>
      <c r="D16" s="48">
        <v>180.68</v>
      </c>
      <c r="E16" s="49">
        <f>63+77+63+66+71</f>
        <v>340</v>
      </c>
      <c r="F16" s="48"/>
      <c r="G16" s="49"/>
      <c r="H16" s="49">
        <f t="shared" si="1"/>
        <v>340</v>
      </c>
      <c r="I16" s="50"/>
      <c r="J16" s="50"/>
      <c r="K16" s="51"/>
      <c r="L16" s="52">
        <f t="shared" si="0"/>
        <v>61431.200000000004</v>
      </c>
    </row>
    <row r="17" spans="1:12" s="7" customFormat="1" x14ac:dyDescent="0.25">
      <c r="A17" s="18">
        <v>2015</v>
      </c>
      <c r="B17" s="14" t="s">
        <v>9</v>
      </c>
      <c r="C17" s="14" t="s">
        <v>16</v>
      </c>
      <c r="D17" s="40">
        <v>127.9</v>
      </c>
      <c r="E17" s="41">
        <f>160+152+176</f>
        <v>488</v>
      </c>
      <c r="F17" s="40">
        <v>124.85</v>
      </c>
      <c r="G17" s="41">
        <f>109+308+154+141+152</f>
        <v>864</v>
      </c>
      <c r="H17" s="41">
        <f t="shared" si="1"/>
        <v>1352</v>
      </c>
      <c r="I17" s="42">
        <f>MIN(F17:F18,D17:D18)</f>
        <v>124.85</v>
      </c>
      <c r="J17" s="42">
        <f>MAX(F17:F18,D17:D18)</f>
        <v>131.93</v>
      </c>
      <c r="K17" s="43">
        <f>AVERAGE(F17,D17:D18)</f>
        <v>128.22666666666666</v>
      </c>
      <c r="L17" s="44">
        <f t="shared" si="0"/>
        <v>170285.6</v>
      </c>
    </row>
    <row r="18" spans="1:12" s="8" customFormat="1" ht="15.75" thickBot="1" x14ac:dyDescent="0.3">
      <c r="A18" s="19">
        <v>2015</v>
      </c>
      <c r="B18" s="15" t="s">
        <v>9</v>
      </c>
      <c r="C18" s="15" t="s">
        <v>16</v>
      </c>
      <c r="D18" s="48">
        <v>131.93</v>
      </c>
      <c r="E18" s="49">
        <f>168+144+168</f>
        <v>480</v>
      </c>
      <c r="F18" s="48"/>
      <c r="G18" s="49"/>
      <c r="H18" s="49">
        <f t="shared" si="1"/>
        <v>480</v>
      </c>
      <c r="I18" s="50"/>
      <c r="J18" s="50"/>
      <c r="K18" s="51"/>
      <c r="L18" s="52">
        <f t="shared" si="0"/>
        <v>63326.400000000001</v>
      </c>
    </row>
    <row r="19" spans="1:12" s="7" customFormat="1" x14ac:dyDescent="0.25">
      <c r="A19" s="18">
        <v>2015</v>
      </c>
      <c r="B19" s="14" t="s">
        <v>13</v>
      </c>
      <c r="C19" s="14" t="s">
        <v>18</v>
      </c>
      <c r="D19" s="40">
        <v>163.87</v>
      </c>
      <c r="E19" s="41">
        <f>1+2.5+3</f>
        <v>6.5</v>
      </c>
      <c r="F19" s="40">
        <v>161.68</v>
      </c>
      <c r="G19" s="41">
        <f>4.5+3+2+2</f>
        <v>11.5</v>
      </c>
      <c r="H19" s="41">
        <f t="shared" si="1"/>
        <v>18</v>
      </c>
      <c r="I19" s="42">
        <f>MIN(F19:F21,D19:D21)</f>
        <v>161.68</v>
      </c>
      <c r="J19" s="42">
        <f>MAX(F19:F21,D19:D21)</f>
        <v>165.59</v>
      </c>
      <c r="K19" s="53">
        <f>AVERAGE(F19:F21,D19:D21)</f>
        <v>164.1275</v>
      </c>
      <c r="L19" s="44">
        <f>(D19*E19)+(F19*G19)</f>
        <v>2924.4750000000004</v>
      </c>
    </row>
    <row r="20" spans="1:12" s="9" customFormat="1" x14ac:dyDescent="0.25">
      <c r="A20" s="28">
        <v>2015</v>
      </c>
      <c r="B20" s="45" t="s">
        <v>13</v>
      </c>
      <c r="C20" s="45" t="s">
        <v>18</v>
      </c>
      <c r="D20" s="30">
        <v>165.37</v>
      </c>
      <c r="E20" s="31"/>
      <c r="F20" s="30"/>
      <c r="G20" s="31"/>
      <c r="H20" s="31">
        <f t="shared" si="1"/>
        <v>0</v>
      </c>
      <c r="I20" s="46"/>
      <c r="J20" s="46"/>
      <c r="K20" s="54"/>
      <c r="L20" s="33">
        <f t="shared" si="0"/>
        <v>0</v>
      </c>
    </row>
    <row r="21" spans="1:12" s="8" customFormat="1" ht="15.75" thickBot="1" x14ac:dyDescent="0.3">
      <c r="A21" s="19">
        <v>2015</v>
      </c>
      <c r="B21" s="15" t="s">
        <v>13</v>
      </c>
      <c r="C21" s="15" t="s">
        <v>18</v>
      </c>
      <c r="D21" s="48">
        <v>165.59</v>
      </c>
      <c r="E21" s="49">
        <f>5.5+5</f>
        <v>10.5</v>
      </c>
      <c r="F21" s="48"/>
      <c r="G21" s="49"/>
      <c r="H21" s="49">
        <f t="shared" si="1"/>
        <v>10.5</v>
      </c>
      <c r="I21" s="50"/>
      <c r="J21" s="50"/>
      <c r="K21" s="55"/>
      <c r="L21" s="52">
        <f t="shared" si="0"/>
        <v>1738.6949999999999</v>
      </c>
    </row>
    <row r="22" spans="1:12" s="10" customFormat="1" ht="15.75" thickBot="1" x14ac:dyDescent="0.3">
      <c r="A22" s="35">
        <v>2015</v>
      </c>
      <c r="B22" s="11" t="s">
        <v>19</v>
      </c>
      <c r="C22" s="11" t="s">
        <v>20</v>
      </c>
      <c r="D22" s="36">
        <v>110.1</v>
      </c>
      <c r="E22" s="37">
        <f>14+18+18+18+18+16</f>
        <v>102</v>
      </c>
      <c r="F22" s="36">
        <v>110.79</v>
      </c>
      <c r="G22" s="37">
        <f>40.5+12+10+12</f>
        <v>74.5</v>
      </c>
      <c r="H22" s="37">
        <f t="shared" si="1"/>
        <v>176.5</v>
      </c>
      <c r="I22" s="38">
        <f>MIN(F22,D22)</f>
        <v>110.1</v>
      </c>
      <c r="J22" s="38">
        <f>MAX(F22,D22)</f>
        <v>110.79</v>
      </c>
      <c r="K22" s="39">
        <f>AVERAGE(F22,D22)</f>
        <v>110.44499999999999</v>
      </c>
      <c r="L22" s="39">
        <f t="shared" si="0"/>
        <v>19484.055</v>
      </c>
    </row>
    <row r="23" spans="1:12" s="10" customFormat="1" ht="15.75" thickBot="1" x14ac:dyDescent="0.3">
      <c r="A23" s="35">
        <v>2015</v>
      </c>
      <c r="B23" s="11"/>
      <c r="C23" s="11" t="s">
        <v>22</v>
      </c>
      <c r="D23" s="36"/>
      <c r="E23" s="37"/>
      <c r="F23" s="36">
        <v>63.26</v>
      </c>
      <c r="G23" s="37">
        <f>1+1.5</f>
        <v>2.5</v>
      </c>
      <c r="H23" s="37">
        <f t="shared" si="1"/>
        <v>2.5</v>
      </c>
      <c r="I23" s="38">
        <f>MIN(F23)</f>
        <v>63.26</v>
      </c>
      <c r="J23" s="38">
        <f>MAX(F23)</f>
        <v>63.26</v>
      </c>
      <c r="K23" s="39">
        <f>AVERAGE(F23)</f>
        <v>63.26</v>
      </c>
      <c r="L23" s="39">
        <f t="shared" si="0"/>
        <v>158.15</v>
      </c>
    </row>
    <row r="24" spans="1:12" s="7" customFormat="1" x14ac:dyDescent="0.25">
      <c r="A24" s="18">
        <v>2015</v>
      </c>
      <c r="B24" s="14" t="s">
        <v>25</v>
      </c>
      <c r="C24" s="14" t="s">
        <v>28</v>
      </c>
      <c r="D24" s="40">
        <v>72.37</v>
      </c>
      <c r="E24" s="41">
        <f>3+13.5+8</f>
        <v>24.5</v>
      </c>
      <c r="F24" s="40">
        <v>73.77</v>
      </c>
      <c r="G24" s="41">
        <f>23.5+6+16.5+10.5</f>
        <v>56.5</v>
      </c>
      <c r="H24" s="41">
        <f t="shared" si="1"/>
        <v>81</v>
      </c>
      <c r="I24" s="42">
        <f>MIN(F24:F25,D24:D25)</f>
        <v>72.37</v>
      </c>
      <c r="J24" s="42">
        <f>MAX(F24:F25,D24:D25)</f>
        <v>73.77</v>
      </c>
      <c r="K24" s="53">
        <f>AVERAGE(F24:F25,D24:D25)</f>
        <v>72.86666666666666</v>
      </c>
      <c r="L24" s="44">
        <f t="shared" si="0"/>
        <v>5941.07</v>
      </c>
    </row>
    <row r="25" spans="1:12" s="8" customFormat="1" ht="15.75" thickBot="1" x14ac:dyDescent="0.3">
      <c r="A25" s="19"/>
      <c r="B25" s="15"/>
      <c r="C25" s="15"/>
      <c r="D25" s="48">
        <v>72.459999999999994</v>
      </c>
      <c r="E25" s="49">
        <f>11.5+8.5</f>
        <v>20</v>
      </c>
      <c r="F25" s="48"/>
      <c r="G25" s="49"/>
      <c r="H25" s="49">
        <f t="shared" si="1"/>
        <v>20</v>
      </c>
      <c r="I25" s="50"/>
      <c r="J25" s="50"/>
      <c r="K25" s="55"/>
      <c r="L25" s="52">
        <f t="shared" si="0"/>
        <v>1449.1999999999998</v>
      </c>
    </row>
  </sheetData>
  <mergeCells count="23">
    <mergeCell ref="K19:K21"/>
    <mergeCell ref="I19:I21"/>
    <mergeCell ref="J19:J21"/>
    <mergeCell ref="K17:K18"/>
    <mergeCell ref="I24:I25"/>
    <mergeCell ref="J24:J25"/>
    <mergeCell ref="K24:K25"/>
    <mergeCell ref="I17:I18"/>
    <mergeCell ref="F1:G1"/>
    <mergeCell ref="D1:E1"/>
    <mergeCell ref="I5:I7"/>
    <mergeCell ref="J5:J7"/>
    <mergeCell ref="I8:I9"/>
    <mergeCell ref="J8:J9"/>
    <mergeCell ref="I11:I12"/>
    <mergeCell ref="J11:J12"/>
    <mergeCell ref="J17:J18"/>
    <mergeCell ref="K5:K7"/>
    <mergeCell ref="K8:K9"/>
    <mergeCell ref="K11:K12"/>
    <mergeCell ref="K15:K16"/>
    <mergeCell ref="I15:I16"/>
    <mergeCell ref="J15:J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ABAG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RyanJ</dc:creator>
  <cp:lastModifiedBy>RyanJ</cp:lastModifiedBy>
  <dcterms:created xsi:type="dcterms:W3CDTF">2017-06-08T20:55:19Z</dcterms:created>
  <dcterms:modified xsi:type="dcterms:W3CDTF">2017-06-12T16:38:58Z</dcterms:modified>
</cp:coreProperties>
</file>