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710" windowWidth="18195" windowHeight="9885" activeTab="1"/>
  </bookViews>
  <sheets>
    <sheet name="2014" sheetId="1" r:id="rId1"/>
    <sheet name="2015" sheetId="2" r:id="rId2"/>
    <sheet name="Sheet3" sheetId="3" r:id="rId3"/>
  </sheets>
  <definedNames>
    <definedName name="_xlnm.Print_Area" localSheetId="1">'2015'!$CB$3:$CE$14</definedName>
    <definedName name="_xlnm.Print_Titles" localSheetId="0">'2014'!$B:$B</definedName>
    <definedName name="_xlnm.Print_Titles" localSheetId="1">'2015'!$B:$B</definedName>
  </definedNames>
  <calcPr calcId="145621"/>
</workbook>
</file>

<file path=xl/calcChain.xml><?xml version="1.0" encoding="utf-8"?>
<calcChain xmlns="http://schemas.openxmlformats.org/spreadsheetml/2006/main">
  <c r="CO16" i="2" l="1"/>
  <c r="CO23" i="2"/>
  <c r="CO22" i="2"/>
  <c r="CK15" i="2"/>
  <c r="CO14" i="2" l="1"/>
  <c r="CO13" i="2"/>
  <c r="CO12" i="2"/>
  <c r="CL21" i="2"/>
  <c r="CL14" i="2"/>
  <c r="CK39" i="2" l="1"/>
  <c r="CK21" i="2" l="1"/>
  <c r="CL41" i="2" s="1"/>
  <c r="CK14" i="2"/>
  <c r="CK11" i="2"/>
  <c r="CK9" i="2"/>
  <c r="CK8" i="2"/>
  <c r="CK7" i="2"/>
  <c r="CK6" i="2"/>
  <c r="CK5" i="2"/>
  <c r="CJ6" i="2"/>
  <c r="CJ7" i="2"/>
  <c r="CJ8" i="2"/>
  <c r="CJ9" i="2"/>
  <c r="CJ11" i="2"/>
  <c r="CJ5" i="2"/>
  <c r="CH11" i="2" l="1"/>
  <c r="CH9" i="2"/>
  <c r="CH8" i="2"/>
  <c r="CH7" i="2"/>
  <c r="CH6" i="2"/>
  <c r="CH5" i="2"/>
  <c r="CK20" i="2" l="1"/>
  <c r="CI17" i="2"/>
  <c r="CE39" i="2" l="1"/>
  <c r="CE41" i="2" s="1"/>
  <c r="CE21" i="2"/>
  <c r="CE20" i="2"/>
  <c r="CE15" i="2" l="1"/>
  <c r="CF14" i="2"/>
  <c r="CC14" i="2" l="1"/>
  <c r="CE14" i="2" l="1"/>
  <c r="CD14" i="2"/>
  <c r="CE11" i="2"/>
  <c r="CE9" i="2"/>
  <c r="CE8" i="2"/>
  <c r="CE7" i="2"/>
  <c r="CE6" i="2"/>
  <c r="CE5" i="2"/>
  <c r="CD6" i="2"/>
  <c r="CD7" i="2"/>
  <c r="CD8" i="2"/>
  <c r="CD9" i="2"/>
  <c r="CD11" i="2"/>
  <c r="CD5" i="2"/>
  <c r="CB11" i="2"/>
  <c r="CB9" i="2"/>
  <c r="CB8" i="2"/>
  <c r="CB7" i="2"/>
  <c r="CB6" i="2"/>
  <c r="CB5" i="2"/>
  <c r="BX43" i="2" l="1"/>
  <c r="BX42" i="2"/>
  <c r="BX41" i="2"/>
  <c r="BY40" i="2" l="1"/>
  <c r="BY21" i="2" l="1"/>
  <c r="BX21" i="2" l="1"/>
  <c r="BX20" i="2"/>
  <c r="BX39" i="2" l="1"/>
  <c r="BW12" i="2" l="1"/>
  <c r="BX12" i="2"/>
  <c r="BV12" i="2"/>
  <c r="BX11" i="2"/>
  <c r="BX8" i="2"/>
  <c r="BX7" i="2"/>
  <c r="BX6" i="2"/>
  <c r="BX5" i="2"/>
  <c r="BU7" i="2"/>
  <c r="BW7" i="2" s="1"/>
  <c r="BW6" i="2"/>
  <c r="BW8" i="2"/>
  <c r="BW11" i="2"/>
  <c r="BW5" i="2"/>
  <c r="BU5" i="2"/>
  <c r="BU8" i="2"/>
  <c r="BU11" i="2"/>
  <c r="BU6" i="2"/>
  <c r="BS43" i="2" l="1"/>
  <c r="BR11" i="2" l="1"/>
  <c r="BR12" i="2"/>
  <c r="BR6" i="2"/>
  <c r="BR7" i="2"/>
  <c r="BR8" i="2"/>
  <c r="BR5" i="2"/>
  <c r="BS15" i="2"/>
  <c r="BS39" i="2" l="1"/>
  <c r="BS21" i="2"/>
  <c r="BS41" i="2" s="1"/>
  <c r="BS20" i="2"/>
  <c r="BS14" i="2"/>
  <c r="BQ14" i="2"/>
  <c r="BQ11" i="2"/>
  <c r="BQ8" i="2"/>
  <c r="BQ7" i="2"/>
  <c r="BQ6" i="2"/>
  <c r="BQ5" i="2"/>
  <c r="BP6" i="2"/>
  <c r="BP7" i="2"/>
  <c r="BP8" i="2"/>
  <c r="BP11" i="2"/>
  <c r="BP5" i="2"/>
  <c r="BN11" i="2"/>
  <c r="BN8" i="2"/>
  <c r="BN7" i="2"/>
  <c r="BN6" i="2"/>
  <c r="BN5" i="2"/>
  <c r="BL14" i="2"/>
  <c r="BL12" i="2"/>
  <c r="BL11" i="2"/>
  <c r="BL8" i="2"/>
  <c r="BL7" i="2"/>
  <c r="BL6" i="2"/>
  <c r="BL5" i="2"/>
  <c r="BK11" i="2"/>
  <c r="BK12" i="2"/>
  <c r="BK6" i="2"/>
  <c r="BK7" i="2"/>
  <c r="BK8" i="2"/>
  <c r="BK5" i="2"/>
  <c r="BI12" i="2"/>
  <c r="BI11" i="2"/>
  <c r="BI8" i="2"/>
  <c r="BI7" i="2"/>
  <c r="BI6" i="2"/>
  <c r="BI5" i="2"/>
  <c r="BF14" i="2"/>
  <c r="BF41" i="2" l="1"/>
  <c r="BF21" i="2"/>
  <c r="BF39" i="2" l="1"/>
  <c r="BF20" i="2" l="1"/>
  <c r="BF15" i="2"/>
  <c r="BF13" i="2" l="1"/>
  <c r="BF12" i="2"/>
  <c r="BF11" i="2"/>
  <c r="BF8" i="2"/>
  <c r="BF7" i="2"/>
  <c r="BF6" i="2"/>
  <c r="BF5" i="2"/>
  <c r="BE13" i="2"/>
  <c r="BE7" i="2"/>
  <c r="BE8" i="2"/>
  <c r="BE11" i="2"/>
  <c r="BE12" i="2"/>
  <c r="BE6" i="2"/>
  <c r="BE5" i="2"/>
  <c r="BD13" i="2"/>
  <c r="BC12" i="2"/>
  <c r="BC11" i="2"/>
  <c r="BC8" i="2"/>
  <c r="BC7" i="2"/>
  <c r="BC6" i="2"/>
  <c r="BC5" i="2"/>
  <c r="AP48" i="2" l="1"/>
  <c r="AP47" i="2"/>
  <c r="AP49" i="2" s="1"/>
  <c r="AP51" i="2" s="1"/>
  <c r="AY41" i="2" l="1"/>
  <c r="AX39" i="2" l="1"/>
  <c r="AX41" i="2" s="1"/>
  <c r="AX15" i="2" l="1"/>
  <c r="AL20" i="2" l="1"/>
  <c r="AL15" i="2"/>
  <c r="AL11" i="2" l="1"/>
  <c r="AL8" i="2"/>
  <c r="AL7" i="2"/>
  <c r="AL6" i="2"/>
  <c r="AL5" i="2"/>
  <c r="AL13" i="2" s="1"/>
  <c r="AK11" i="2"/>
  <c r="AI11" i="2"/>
  <c r="AI8" i="2"/>
  <c r="AK8" i="2" s="1"/>
  <c r="AI7" i="2"/>
  <c r="AK7" i="2" s="1"/>
  <c r="AI6" i="2"/>
  <c r="AK6" i="2" s="1"/>
  <c r="AI5" i="2"/>
  <c r="AK5" i="2" s="1"/>
  <c r="AM15" i="2" l="1"/>
  <c r="AL21" i="2"/>
  <c r="AL39" i="2"/>
  <c r="AM41" i="2" l="1"/>
  <c r="AL41" i="2"/>
  <c r="AF15" i="2"/>
  <c r="AF39" i="2" l="1"/>
  <c r="AF11" i="2"/>
  <c r="AF8" i="2"/>
  <c r="AF7" i="2"/>
  <c r="AF6" i="2"/>
  <c r="AF14" i="2" s="1"/>
  <c r="AF21" i="2" s="1"/>
  <c r="AF5" i="2"/>
  <c r="AE11" i="2"/>
  <c r="AC11" i="2"/>
  <c r="AC8" i="2"/>
  <c r="AE8" i="2" s="1"/>
  <c r="AC7" i="2"/>
  <c r="AE7" i="2" s="1"/>
  <c r="AC6" i="2"/>
  <c r="AE6" i="2" s="1"/>
  <c r="AC5" i="2"/>
  <c r="AE5" i="2" s="1"/>
  <c r="AE14" i="2" l="1"/>
  <c r="AF41" i="2"/>
  <c r="Z11" i="2" l="1"/>
  <c r="Z8" i="2"/>
  <c r="Z7" i="2"/>
  <c r="Z6" i="2"/>
  <c r="Z5" i="2"/>
  <c r="Z14" i="2" s="1"/>
  <c r="Y6" i="2"/>
  <c r="Y8" i="2"/>
  <c r="W11" i="2"/>
  <c r="Y11" i="2" s="1"/>
  <c r="W8" i="2"/>
  <c r="W7" i="2"/>
  <c r="Y7" i="2" s="1"/>
  <c r="W6" i="2"/>
  <c r="W5" i="2"/>
  <c r="Y5" i="2" s="1"/>
  <c r="Z21" i="2" l="1"/>
  <c r="Z15" i="2"/>
  <c r="Z39" i="2"/>
  <c r="Z41" i="2" l="1"/>
  <c r="T42" i="2" l="1"/>
  <c r="S39" i="2" l="1"/>
  <c r="S15" i="2" l="1"/>
  <c r="S20" i="2" l="1"/>
  <c r="S11" i="2" l="1"/>
  <c r="S8" i="2"/>
  <c r="S7" i="2"/>
  <c r="S6" i="2"/>
  <c r="S5" i="2"/>
  <c r="R7" i="2"/>
  <c r="P11" i="2"/>
  <c r="R11" i="2" s="1"/>
  <c r="P8" i="2"/>
  <c r="R8" i="2" s="1"/>
  <c r="P7" i="2"/>
  <c r="P6" i="2"/>
  <c r="R6" i="2" s="1"/>
  <c r="P5" i="2"/>
  <c r="R5" i="2" s="1"/>
  <c r="T11" i="2" l="1"/>
  <c r="S14" i="2"/>
  <c r="S21" i="2" s="1"/>
  <c r="S41" i="2" s="1"/>
  <c r="N39" i="2"/>
  <c r="N15" i="2" l="1"/>
  <c r="N11" i="2" l="1"/>
  <c r="N8" i="2"/>
  <c r="N7" i="2"/>
  <c r="N6" i="2"/>
  <c r="N5" i="2"/>
  <c r="N14" i="2" s="1"/>
  <c r="N21" i="2" s="1"/>
  <c r="N41" i="2" s="1"/>
  <c r="M7" i="2"/>
  <c r="K11" i="2"/>
  <c r="M11" i="2" s="1"/>
  <c r="K8" i="2"/>
  <c r="M8" i="2" s="1"/>
  <c r="K7" i="2"/>
  <c r="K6" i="2"/>
  <c r="M6" i="2" s="1"/>
  <c r="K5" i="2"/>
  <c r="M5" i="2" s="1"/>
  <c r="M14" i="2" l="1"/>
  <c r="L13" i="2"/>
  <c r="G49" i="2" l="1"/>
  <c r="G15" i="2"/>
  <c r="G8" i="2"/>
  <c r="G7" i="2"/>
  <c r="G5" i="2"/>
  <c r="G6" i="2"/>
  <c r="F8" i="2"/>
  <c r="D8" i="2"/>
  <c r="D7" i="2"/>
  <c r="F7" i="2" s="1"/>
  <c r="D6" i="2"/>
  <c r="F6" i="2" s="1"/>
  <c r="D5" i="2"/>
  <c r="F5" i="2" s="1"/>
  <c r="F14" i="2" s="1"/>
  <c r="G14" i="2" l="1"/>
  <c r="G20" i="2" l="1"/>
  <c r="G39" i="2"/>
  <c r="G50" i="2" s="1"/>
  <c r="G51" i="2" s="1"/>
  <c r="G52" i="2" s="1"/>
  <c r="G21" i="2" l="1"/>
  <c r="H21" i="2"/>
  <c r="H41" i="2" s="1"/>
  <c r="G41" i="2"/>
  <c r="G43" i="2" s="1"/>
  <c r="BA49" i="1"/>
  <c r="BH49" i="1" l="1"/>
  <c r="CF47" i="1" l="1"/>
  <c r="CF48" i="1"/>
  <c r="CF46" i="1"/>
  <c r="CE49" i="1"/>
  <c r="BY49" i="1"/>
  <c r="CE40" i="1"/>
  <c r="BY40" i="1"/>
  <c r="CF49" i="1" l="1"/>
  <c r="CE24" i="1"/>
  <c r="CF14" i="1"/>
  <c r="CE14" i="1"/>
  <c r="CE11" i="1"/>
  <c r="CE10" i="1"/>
  <c r="CE9" i="1"/>
  <c r="CE7" i="1"/>
  <c r="CE6" i="1"/>
  <c r="CE5" i="1"/>
  <c r="CD6" i="1"/>
  <c r="CD14" i="1" s="1"/>
  <c r="CD7" i="1"/>
  <c r="CD9" i="1"/>
  <c r="CD10" i="1"/>
  <c r="CD11" i="1"/>
  <c r="CD5" i="1"/>
  <c r="CC9" i="1" l="1"/>
  <c r="CB11" i="1"/>
  <c r="CB10" i="1"/>
  <c r="CB9" i="1"/>
  <c r="CB7" i="1"/>
  <c r="CB6" i="1"/>
  <c r="CB5" i="1"/>
  <c r="BY39" i="1" l="1"/>
  <c r="CE29" i="1" l="1"/>
  <c r="CE39" i="1" l="1"/>
  <c r="BS49" i="1" l="1"/>
  <c r="BZ24" i="1" l="1"/>
  <c r="BY15" i="1"/>
  <c r="BZ14" i="1"/>
  <c r="BY24" i="1" l="1"/>
  <c r="BY18" i="1"/>
  <c r="BY14" i="1"/>
  <c r="BY10" i="1"/>
  <c r="BY9" i="1"/>
  <c r="BY7" i="1"/>
  <c r="BY6" i="1"/>
  <c r="BY5" i="1"/>
  <c r="BX9" i="1"/>
  <c r="BX10" i="1"/>
  <c r="BX6" i="1"/>
  <c r="BX7" i="1"/>
  <c r="BX5" i="1"/>
  <c r="BV10" i="1"/>
  <c r="BV9" i="1"/>
  <c r="BV7" i="1"/>
  <c r="BV6" i="1"/>
  <c r="BV5" i="1"/>
  <c r="BS15" i="1" l="1"/>
  <c r="BS39" i="1" l="1"/>
  <c r="BS24" i="1" l="1"/>
  <c r="BT14" i="1"/>
  <c r="BS14" i="1"/>
  <c r="BS40" i="1" l="1"/>
  <c r="BT39" i="1"/>
  <c r="BS10" i="1"/>
  <c r="BS9" i="1"/>
  <c r="BS7" i="1"/>
  <c r="BS6" i="1"/>
  <c r="BS5" i="1"/>
  <c r="BR6" i="1"/>
  <c r="BR7" i="1"/>
  <c r="BR9" i="1"/>
  <c r="BR10" i="1"/>
  <c r="BR5" i="1"/>
  <c r="BR14" i="1" l="1"/>
  <c r="BP10" i="1"/>
  <c r="BP9" i="1"/>
  <c r="BP5" i="1"/>
  <c r="BP6" i="1"/>
  <c r="BP7" i="1"/>
  <c r="BM46" i="1" l="1"/>
  <c r="BM49" i="1" l="1"/>
  <c r="BM47" i="1"/>
  <c r="BM39" i="1"/>
  <c r="BM43" i="1"/>
  <c r="BM40" i="1" l="1"/>
  <c r="BM11" i="1" l="1"/>
  <c r="BL15" i="1"/>
  <c r="BM7" i="1"/>
  <c r="BK14" i="1"/>
  <c r="BM10" i="1"/>
  <c r="BM9" i="1"/>
  <c r="BM6" i="1"/>
  <c r="BM5" i="1"/>
  <c r="BM14" i="1" l="1"/>
  <c r="BM24" i="1" s="1"/>
  <c r="BJ11" i="1" l="1"/>
  <c r="BL11" i="1" s="1"/>
  <c r="BJ10" i="1"/>
  <c r="BL10" i="1" s="1"/>
  <c r="BJ9" i="1"/>
  <c r="BL9" i="1" s="1"/>
  <c r="BJ7" i="1"/>
  <c r="BL7" i="1" s="1"/>
  <c r="BJ6" i="1"/>
  <c r="BL6" i="1" s="1"/>
  <c r="BJ5" i="1"/>
  <c r="BL5" i="1" s="1"/>
  <c r="BL14" i="1" l="1"/>
  <c r="BL24" i="1" s="1"/>
  <c r="BH39" i="1"/>
  <c r="BH43" i="1" s="1"/>
  <c r="AR41" i="1"/>
  <c r="AR49" i="1"/>
  <c r="BF14" i="1" l="1"/>
  <c r="BE14" i="1"/>
  <c r="BG15" i="1" l="1"/>
  <c r="BH13" i="1" l="1"/>
  <c r="BH11" i="1"/>
  <c r="BH10" i="1"/>
  <c r="BH9" i="1"/>
  <c r="BH7" i="1"/>
  <c r="BH6" i="1"/>
  <c r="BH5" i="1"/>
  <c r="BG7" i="1"/>
  <c r="BD13" i="1"/>
  <c r="BG13" i="1" s="1"/>
  <c r="BD11" i="1"/>
  <c r="BG11" i="1" s="1"/>
  <c r="BD10" i="1"/>
  <c r="BG10" i="1" s="1"/>
  <c r="BD9" i="1"/>
  <c r="BG9" i="1" s="1"/>
  <c r="BD7" i="1"/>
  <c r="BH14" i="1" l="1"/>
  <c r="BH24" i="1" s="1"/>
  <c r="BH40" i="1" s="1"/>
  <c r="BD6" i="1"/>
  <c r="BG6" i="1" s="1"/>
  <c r="BD5" i="1"/>
  <c r="BG5" i="1" s="1"/>
  <c r="BG14" i="1" l="1"/>
  <c r="BG24" i="1" s="1"/>
  <c r="BA39" i="1" l="1"/>
  <c r="BA43" i="1" s="1"/>
  <c r="BA15" i="1" l="1"/>
  <c r="BA24" i="1" s="1"/>
  <c r="BA40" i="1" s="1"/>
  <c r="BA42" i="1" s="1"/>
  <c r="AR39" i="1" l="1"/>
  <c r="AR43" i="1" s="1"/>
  <c r="AQ14" i="1" l="1"/>
  <c r="AS11" i="1"/>
  <c r="AS10" i="1"/>
  <c r="AS9" i="1"/>
  <c r="AS7" i="1"/>
  <c r="AS6" i="1"/>
  <c r="AS5" i="1"/>
  <c r="AS14" i="1" l="1"/>
  <c r="AP7" i="1"/>
  <c r="AR7" i="1" s="1"/>
  <c r="AP11" i="1"/>
  <c r="AR11" i="1" s="1"/>
  <c r="AP10" i="1"/>
  <c r="AR10" i="1" s="1"/>
  <c r="AP9" i="1"/>
  <c r="AR9" i="1" s="1"/>
  <c r="AP6" i="1"/>
  <c r="AR6" i="1" s="1"/>
  <c r="AP5" i="1"/>
  <c r="AR5" i="1" s="1"/>
  <c r="AR14" i="1" l="1"/>
  <c r="AW7" i="1"/>
  <c r="AW8" i="1"/>
  <c r="AW9" i="1"/>
  <c r="AW10" i="1"/>
  <c r="AW11" i="1"/>
  <c r="AW12" i="1"/>
  <c r="AW13" i="1"/>
  <c r="AW14" i="1"/>
  <c r="AW15" i="1"/>
  <c r="AW16" i="1"/>
  <c r="AW17" i="1"/>
  <c r="AW18" i="1"/>
  <c r="AW20" i="1"/>
  <c r="AW21" i="1"/>
  <c r="AW22" i="1"/>
  <c r="AW6" i="1"/>
  <c r="AV24" i="1"/>
  <c r="AW24" i="1" l="1"/>
  <c r="AR40" i="1" s="1"/>
  <c r="AR42" i="1" s="1"/>
  <c r="AM49" i="1"/>
  <c r="AM39" i="1" l="1"/>
  <c r="AM43" i="1" s="1"/>
  <c r="AN10" i="1" l="1"/>
  <c r="AN11" i="1"/>
  <c r="AN7" i="1"/>
  <c r="AN9" i="1"/>
  <c r="AN14" i="1" s="1"/>
  <c r="AN24" i="1" s="1"/>
  <c r="AN6" i="1"/>
  <c r="AN5" i="1"/>
  <c r="AN39" i="1" l="1"/>
  <c r="AK11" i="1" l="1"/>
  <c r="AM11" i="1" s="1"/>
  <c r="AK10" i="1"/>
  <c r="AM10" i="1" s="1"/>
  <c r="AK9" i="1"/>
  <c r="AM9" i="1" s="1"/>
  <c r="AK7" i="1"/>
  <c r="AM7" i="1" s="1"/>
  <c r="AK6" i="1"/>
  <c r="AM6" i="1" s="1"/>
  <c r="AK5" i="1"/>
  <c r="AM5" i="1" s="1"/>
  <c r="AM14" i="1" l="1"/>
  <c r="AM24" i="1" s="1"/>
  <c r="AM40" i="1" s="1"/>
  <c r="AN42" i="1" s="1"/>
  <c r="AU24" i="1"/>
  <c r="AI13" i="1" l="1"/>
  <c r="AI11" i="1"/>
  <c r="AI10" i="1"/>
  <c r="AI9" i="1"/>
  <c r="AI7" i="1"/>
  <c r="AI6" i="1"/>
  <c r="AI5" i="1"/>
  <c r="AI14" i="1" l="1"/>
  <c r="AI15" i="1" s="1"/>
  <c r="AI24" i="1" s="1"/>
  <c r="AI40" i="1" s="1"/>
  <c r="AH39" i="1"/>
  <c r="AH43" i="1" s="1"/>
  <c r="AH49" i="1"/>
  <c r="AH5" i="1" l="1"/>
  <c r="AF13" i="1"/>
  <c r="AH13" i="1" s="1"/>
  <c r="AF11" i="1"/>
  <c r="AH11" i="1" s="1"/>
  <c r="AF10" i="1"/>
  <c r="AH10" i="1" s="1"/>
  <c r="AF9" i="1"/>
  <c r="AH9" i="1" s="1"/>
  <c r="AF7" i="1"/>
  <c r="AH7" i="1" s="1"/>
  <c r="AF6" i="1"/>
  <c r="AH6" i="1" s="1"/>
  <c r="AF5" i="1"/>
  <c r="AH14" i="1" l="1"/>
  <c r="AH24" i="1" s="1"/>
  <c r="AH40" i="1" s="1"/>
  <c r="AC15" i="1"/>
  <c r="AC39" i="1"/>
  <c r="AC49" i="1" l="1"/>
  <c r="AC43" i="1" s="1"/>
  <c r="AC5" i="1"/>
  <c r="AA12" i="1"/>
  <c r="AC12" i="1" s="1"/>
  <c r="AA11" i="1"/>
  <c r="AC11" i="1" s="1"/>
  <c r="AA10" i="1"/>
  <c r="AC10" i="1" s="1"/>
  <c r="AA9" i="1"/>
  <c r="AC9" i="1" s="1"/>
  <c r="AA7" i="1"/>
  <c r="AC7" i="1" s="1"/>
  <c r="AA6" i="1"/>
  <c r="AC6" i="1" s="1"/>
  <c r="AA5" i="1"/>
  <c r="AC14" i="1" l="1"/>
  <c r="AC24" i="1" s="1"/>
  <c r="AC40" i="1" s="1"/>
  <c r="AC42" i="1" s="1"/>
  <c r="Y41" i="1"/>
  <c r="Y49" i="1"/>
  <c r="T39" i="1"/>
  <c r="P49" i="1"/>
  <c r="M49" i="1"/>
  <c r="K49" i="1"/>
  <c r="H49" i="1"/>
  <c r="P39" i="1"/>
  <c r="M39" i="1"/>
  <c r="M40" i="1" s="1"/>
  <c r="M42" i="1" s="1"/>
  <c r="K39" i="1"/>
  <c r="H39" i="1"/>
  <c r="G49" i="1"/>
  <c r="H14" i="1"/>
  <c r="H24" i="1" s="1"/>
  <c r="H40" i="1" s="1"/>
  <c r="H42" i="1" s="1"/>
  <c r="G15" i="1" l="1"/>
  <c r="G14" i="1"/>
  <c r="G24" i="1" s="1"/>
  <c r="G39" i="1"/>
  <c r="G40" i="1" l="1"/>
  <c r="G42" i="1" s="1"/>
  <c r="F39" i="1"/>
  <c r="F49" i="1"/>
  <c r="E49" i="1"/>
  <c r="F24" i="1"/>
  <c r="F40" i="1" l="1"/>
  <c r="F42" i="1" s="1"/>
  <c r="E15" i="1"/>
  <c r="E39" i="1"/>
  <c r="E14" i="1"/>
  <c r="D39" i="1"/>
  <c r="D14" i="1"/>
  <c r="D24" i="1" s="1"/>
  <c r="D40" i="1" s="1"/>
  <c r="D42" i="1" s="1"/>
  <c r="E24" i="1" l="1"/>
  <c r="E40" i="1" s="1"/>
  <c r="E42" i="1" s="1"/>
  <c r="C39" i="1"/>
  <c r="C15" i="1"/>
  <c r="C24" i="1" s="1"/>
  <c r="C40" i="1" s="1"/>
  <c r="C42" i="1" s="1"/>
  <c r="Y15" i="1" l="1"/>
  <c r="Y39" i="1" l="1"/>
  <c r="W11" i="1" l="1"/>
  <c r="Y11" i="1" s="1"/>
  <c r="W10" i="1"/>
  <c r="Y10" i="1" s="1"/>
  <c r="W9" i="1"/>
  <c r="Y9" i="1" s="1"/>
  <c r="W7" i="1"/>
  <c r="Y7" i="1" s="1"/>
  <c r="W6" i="1"/>
  <c r="Y6" i="1" s="1"/>
  <c r="W5" i="1"/>
  <c r="Y5" i="1" s="1"/>
  <c r="Y14" i="1" l="1"/>
  <c r="Y24" i="1" s="1"/>
  <c r="Y40" i="1" s="1"/>
  <c r="Y42" i="1" s="1"/>
  <c r="T15" i="1"/>
  <c r="R11" i="1" l="1"/>
  <c r="T11" i="1" s="1"/>
  <c r="R10" i="1"/>
  <c r="T10" i="1" s="1"/>
  <c r="R9" i="1"/>
  <c r="T9" i="1" s="1"/>
  <c r="R7" i="1"/>
  <c r="T7" i="1" s="1"/>
  <c r="R5" i="1"/>
  <c r="T5" i="1" s="1"/>
  <c r="R6" i="1"/>
  <c r="T6" i="1" s="1"/>
  <c r="T14" i="1" l="1"/>
  <c r="T24" i="1" s="1"/>
  <c r="T40" i="1" s="1"/>
  <c r="T42" i="1" s="1"/>
  <c r="T47" i="1"/>
  <c r="T49" i="1" s="1"/>
  <c r="O5" i="1" l="1"/>
  <c r="P5" i="1" s="1"/>
  <c r="O6" i="1"/>
  <c r="P6" i="1" s="1"/>
  <c r="O7" i="1"/>
  <c r="P7" i="1" s="1"/>
  <c r="P8" i="1"/>
  <c r="O9" i="1"/>
  <c r="P9" i="1" s="1"/>
  <c r="O10" i="1"/>
  <c r="P10" i="1" s="1"/>
  <c r="O11" i="1"/>
  <c r="P11" i="1" s="1"/>
  <c r="P12" i="1"/>
  <c r="P15" i="1"/>
  <c r="K5" i="1"/>
  <c r="K6" i="1"/>
  <c r="K7" i="1"/>
  <c r="K9" i="1"/>
  <c r="K10" i="1"/>
  <c r="K11" i="1"/>
  <c r="K14" i="1" l="1"/>
  <c r="K15" i="1" s="1"/>
  <c r="P14" i="1"/>
  <c r="P24" i="1" s="1"/>
  <c r="P40" i="1" s="1"/>
  <c r="P42" i="1" s="1"/>
  <c r="K24" i="1" l="1"/>
  <c r="K40" i="1" s="1"/>
  <c r="K42" i="1" s="1"/>
</calcChain>
</file>

<file path=xl/comments1.xml><?xml version="1.0" encoding="utf-8"?>
<comments xmlns="http://schemas.openxmlformats.org/spreadsheetml/2006/main">
  <authors>
    <author>LucyN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included ABAG Nov13 costs
</t>
        </r>
      </text>
    </comment>
    <comment ref="CC9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Oct14 1 hr missed billed in Oct14 PG&amp;E invoice</t>
        </r>
      </text>
    </comment>
    <comment ref="CC11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Oct14 6hrs missed bill in Oct14 PG&amp;E invoice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Jul &amp; Aug 13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Nov13 &amp; Dec13</t>
        </r>
      </text>
    </comment>
    <comment ref="BS14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missed to bill Susan's 1 hr and Karina's 6 hrs. included in PG&amp;E Dec14 invoice, total $659.83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Mar &amp; Apr 2013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May13 &amp; June 13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July &amp; Aug 13</t>
        </r>
      </text>
    </comment>
    <comment ref="AC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missed to bill prior months expenses: $542.81 (Sep13; $168.55 (Oct13; $164.97 (Dec13)</t>
        </r>
      </text>
    </comment>
    <comment ref="BA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ODC: $4.4 (May14); $725.11 (Jun14); $791.62 (JUl14)</t>
        </r>
      </text>
    </comment>
    <comment ref="BG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$129.48 (Jul14)</t>
        </r>
      </text>
    </comment>
    <comment ref="BL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included $25 Jul14 ODC </t>
        </r>
      </text>
    </comment>
    <comment ref="BS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included $7.55 Sep14 ODC</t>
        </r>
      </text>
    </comment>
    <comment ref="AH28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s/b $31,132.62, correction made in June2014 invoice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changed name starting Sep2014
</t>
        </r>
      </text>
    </comment>
    <comment ref="AR40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included correction -$240,625.16 for overbilled April14 invoice (Santa Clara)</t>
        </r>
      </text>
    </comment>
    <comment ref="Y41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credit note -$25,596.98 (StopWaste)</t>
        </r>
      </text>
    </comment>
    <comment ref="AR41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 $1,010,776.95
</t>
        </r>
        <r>
          <rPr>
            <u/>
            <sz val="9"/>
            <color indexed="81"/>
            <rFont val="Tahoma"/>
            <family val="2"/>
          </rPr>
          <t>-$643,425(SF 2nd incentive adv)</t>
        </r>
        <r>
          <rPr>
            <sz val="9"/>
            <color indexed="81"/>
            <rFont val="Tahoma"/>
            <family val="2"/>
          </rPr>
          <t xml:space="preserve">
 $367,351.95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SF 1st Advance
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MF 1st Advance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$0.62 - rounding (ABAG)
$1.5 millions - MF Capital Advance/Impl</t>
        </r>
      </text>
    </comment>
    <comment ref="AR43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$608,702.46-$240,625.16=$368,077.30
$368,077.30-$367,351.51=$725.79
$725.11 (Jun2014 ODC) billed in PG&amp;E July2014 invoice </t>
        </r>
      </text>
    </comment>
    <comment ref="BA43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 $531,447.74
+$725.11 (Jun14 ODC)
</t>
        </r>
        <r>
          <rPr>
            <u/>
            <sz val="9"/>
            <color indexed="81"/>
            <rFont val="Tahoma"/>
            <family val="2"/>
          </rPr>
          <t>-$129.48 (Jul14 ODC billed in PG&amp;E Aug14 invoice)</t>
        </r>
        <r>
          <rPr>
            <sz val="9"/>
            <color indexed="81"/>
            <rFont val="Tahoma"/>
            <family val="2"/>
          </rPr>
          <t xml:space="preserve">
 $532,043.37
July2014 ABAG staff costs billed in Aug2014 PG&amp;E invoice</t>
        </r>
      </text>
    </comment>
    <comment ref="BH43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  $704,045.78
+$31,485.20 (Jul14 PC)
+$14,152.60 (Jul14 OH)
+$129.46 (Jul14 ODC)
</t>
        </r>
        <r>
          <rPr>
            <u/>
            <sz val="9"/>
            <color indexed="81"/>
            <rFont val="Tahoma"/>
            <family val="2"/>
          </rPr>
          <t xml:space="preserve">-$25 (Aug14 conf &amp; ser. Billed in Sep14 PG&amp;E invoice)
</t>
        </r>
        <r>
          <rPr>
            <sz val="9"/>
            <color indexed="81"/>
            <rFont val="Tahoma"/>
            <family val="2"/>
          </rPr>
          <t xml:space="preserve"> $749,788.04</t>
        </r>
      </text>
    </comment>
    <comment ref="BM43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$745,801.38
+$25 (Jul14 ODC)</t>
        </r>
        <r>
          <rPr>
            <u/>
            <sz val="9"/>
            <color indexed="81"/>
            <rFont val="Tahoma"/>
            <family val="2"/>
          </rPr>
          <t xml:space="preserve">
-$7.55 (Sep14 ODC billed in Oct14 inv)
</t>
        </r>
        <r>
          <rPr>
            <sz val="9"/>
            <color indexed="81"/>
            <rFont val="Tahoma"/>
            <family val="2"/>
          </rPr>
          <t>$745,818.83</t>
        </r>
      </text>
    </comment>
  </commentList>
</comments>
</file>

<file path=xl/comments2.xml><?xml version="1.0" encoding="utf-8"?>
<comments xmlns="http://schemas.openxmlformats.org/spreadsheetml/2006/main">
  <authors>
    <author>LucyN</author>
  </authors>
  <commentList>
    <comment ref="AX14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ABAG July 2015 labor costs billed in PG&amp;E August 2015 invoice due to July PCA rates are not available when the invoice due.</t>
        </r>
      </text>
    </comment>
    <comment ref="BF14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ABAG's July labor costs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AP GL in Feb2015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net reimbursed amount to Jenny B. $406.02, plus credit $150.20 for trip canceled in Dec2014. total cost for the trip on 2/23/15 $556.22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$40.85 printing in-house (Jan15 - Mar15)</t>
        </r>
      </text>
    </comment>
    <comment ref="AL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May15 Conf.&amp;Sern. $129.24 &amp; 19.49 billed in PG&amp;E June15 invoice</t>
        </r>
      </text>
    </comment>
    <comment ref="AX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Jerry L. $514.74 reimbursable expenses booked in June 2015</t>
        </r>
      </text>
    </comment>
    <comment ref="CE1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$1.50 Oct15 Printing in-house</t>
        </r>
      </text>
    </comment>
    <comment ref="CC16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GL in Nov2015</t>
        </r>
      </text>
    </comment>
    <comment ref="BE17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AP booked in June2015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changed name starting Sep2014
</t>
        </r>
      </text>
    </comment>
    <comment ref="AP39" authorId="0">
      <text>
        <r>
          <rPr>
            <b/>
            <sz val="9"/>
            <color indexed="81"/>
            <rFont val="Tahoma"/>
            <family val="2"/>
          </rPr>
          <t>LucyN:</t>
        </r>
        <r>
          <rPr>
            <sz val="9"/>
            <color indexed="81"/>
            <rFont val="Tahoma"/>
            <family val="2"/>
          </rPr>
          <t xml:space="preserve">
Total of April2015, May2015, and June2015 technical consultant fees</t>
        </r>
      </text>
    </comment>
  </commentList>
</comments>
</file>

<file path=xl/sharedStrings.xml><?xml version="1.0" encoding="utf-8"?>
<sst xmlns="http://schemas.openxmlformats.org/spreadsheetml/2006/main" count="275" uniqueCount="134">
  <si>
    <t>Jerry</t>
  </si>
  <si>
    <t>Jenny</t>
  </si>
  <si>
    <t>Daniel</t>
  </si>
  <si>
    <t>Susan</t>
  </si>
  <si>
    <t>Lucy</t>
  </si>
  <si>
    <t>Karina</t>
  </si>
  <si>
    <t>Rate (include OH)</t>
  </si>
  <si>
    <t>Hours</t>
  </si>
  <si>
    <t>amount</t>
  </si>
  <si>
    <t>Other Direct costs</t>
  </si>
  <si>
    <t>total ABAG</t>
  </si>
  <si>
    <t>StopWaste</t>
  </si>
  <si>
    <t>RCPA</t>
  </si>
  <si>
    <t>Santa Clara</t>
  </si>
  <si>
    <t>CCSF</t>
  </si>
  <si>
    <t>Marin</t>
  </si>
  <si>
    <t>Napa</t>
  </si>
  <si>
    <t>San Mateo</t>
  </si>
  <si>
    <t>CCC</t>
  </si>
  <si>
    <t>ICF</t>
  </si>
  <si>
    <t>BKI</t>
  </si>
  <si>
    <t>Jody London</t>
  </si>
  <si>
    <t>Bryan</t>
  </si>
  <si>
    <t>ABAG - Community at Work</t>
  </si>
  <si>
    <t>ABAG - PECI</t>
  </si>
  <si>
    <t>ABAG - ICF (Website)</t>
  </si>
  <si>
    <t>total personnel &amp; OH</t>
  </si>
  <si>
    <t>total consultant/member</t>
  </si>
  <si>
    <t xml:space="preserve">grand total </t>
  </si>
  <si>
    <t>Incentive Paid</t>
  </si>
  <si>
    <t>MF</t>
  </si>
  <si>
    <t>SF</t>
  </si>
  <si>
    <t>total incentive paid</t>
  </si>
  <si>
    <t>PG&amp;E Invoice Amount</t>
  </si>
  <si>
    <t>Variance</t>
  </si>
  <si>
    <t xml:space="preserve">Tech Consl $542.81 in Sep13 GL will be reclassified as ODC in Mar14. and billed in PG&amp;E Mar14 invoice </t>
  </si>
  <si>
    <t>Printing In-House $168.55 in Oct13 GL will be billed in PG&amp;E Mar14 invoice</t>
  </si>
  <si>
    <t>subscription &amp; membership $164.97 in Dec13 GL will be reclassified as Misc Exp and be billed in PG&amp;E Mar14 invoice</t>
  </si>
  <si>
    <t>** Adj IncomeStmnt</t>
  </si>
  <si>
    <t>Ryan Jacoby</t>
  </si>
  <si>
    <t>Solano</t>
  </si>
  <si>
    <t>amt after rounding</t>
  </si>
  <si>
    <t>sf/admin</t>
  </si>
  <si>
    <t>sf/mkt</t>
  </si>
  <si>
    <t>sf/imp</t>
  </si>
  <si>
    <t>mf/admin</t>
  </si>
  <si>
    <t>mf/mkt</t>
  </si>
  <si>
    <t>mf/imp</t>
  </si>
  <si>
    <t>mf cap adv/admin</t>
  </si>
  <si>
    <t>mf cap adv/mkt</t>
  </si>
  <si>
    <t>CP/admin</t>
  </si>
  <si>
    <t>CP/mkt</t>
  </si>
  <si>
    <t>pays/admin</t>
  </si>
  <si>
    <t>pays/mkt</t>
  </si>
  <si>
    <t>pays/imp</t>
  </si>
  <si>
    <t>C&amp;S/admin</t>
  </si>
  <si>
    <t>C&amp;S/mkt</t>
  </si>
  <si>
    <t>C&amp;S/imp</t>
  </si>
  <si>
    <t>Income Statement</t>
  </si>
  <si>
    <t>correct amount</t>
  </si>
  <si>
    <t>billed PG&amp;E amount</t>
  </si>
  <si>
    <t>over billed</t>
  </si>
  <si>
    <t xml:space="preserve">Correction for Santa Clara April 2014 Invoice (correction made in June2014 invoice) </t>
  </si>
  <si>
    <t>Total</t>
  </si>
  <si>
    <t>PECI</t>
  </si>
  <si>
    <t>WonderWork Consulting</t>
  </si>
  <si>
    <t>*</t>
  </si>
  <si>
    <t xml:space="preserve">* variance$4.40: OCD printing -in-house $1 and postage $3.4 will be billed in July14 invoice </t>
  </si>
  <si>
    <t>ABAG - Home Energy</t>
  </si>
  <si>
    <t>Hours (Jul14)</t>
  </si>
  <si>
    <t>Hours (Aug14)</t>
  </si>
  <si>
    <t>ABAG - Wonder Works</t>
  </si>
  <si>
    <t>ABAG - StopWaste</t>
  </si>
  <si>
    <t>ABAG - Arup North America Ltd</t>
  </si>
  <si>
    <t>ClearResult / Populus</t>
  </si>
  <si>
    <t>Nov14 PC</t>
  </si>
  <si>
    <t>Nov14 OH</t>
  </si>
  <si>
    <t>Adj Oct14 (Susan 1 hr, Karina 6 hrs)</t>
  </si>
  <si>
    <t>Cal State East Bay</t>
  </si>
  <si>
    <t>AP Clerk</t>
  </si>
  <si>
    <t>total vendors under ABAG budget</t>
  </si>
  <si>
    <t>Vendors - ABAG budget:</t>
  </si>
  <si>
    <t>amount after rounding</t>
  </si>
  <si>
    <t>Monica E. Smith</t>
  </si>
  <si>
    <t xml:space="preserve">Income Statement: </t>
  </si>
  <si>
    <t>Personnel Costs</t>
  </si>
  <si>
    <t>Overhead</t>
  </si>
  <si>
    <t>Other Direct Costs</t>
  </si>
  <si>
    <t>subtotal from Income Statement</t>
  </si>
  <si>
    <t>add: member/consultant invoices</t>
  </si>
  <si>
    <t>A</t>
  </si>
  <si>
    <t>B</t>
  </si>
  <si>
    <t>C</t>
  </si>
  <si>
    <t>Variance (A &amp; B)</t>
  </si>
  <si>
    <t>Variance (B &amp; C)</t>
  </si>
  <si>
    <t>Monica Smith</t>
  </si>
  <si>
    <t>Blue Point Planning</t>
  </si>
  <si>
    <t>June</t>
  </si>
  <si>
    <t>Sustainable Real Estate Solutions</t>
  </si>
  <si>
    <t>County of Santa Clara</t>
  </si>
  <si>
    <t>WonderWorks Consulting</t>
  </si>
  <si>
    <t>Home Energy</t>
  </si>
  <si>
    <t>year-end reconciliation</t>
  </si>
  <si>
    <t>Edna Yeh</t>
  </si>
  <si>
    <t>Account# 11320-303017-2020</t>
  </si>
  <si>
    <t>Amount on June 2015 Income Statement</t>
  </si>
  <si>
    <t>Technical Consultant Fees</t>
  </si>
  <si>
    <t xml:space="preserve">Less Consultant Fees already billed: </t>
  </si>
  <si>
    <t>April2015 Consultant Fees</t>
  </si>
  <si>
    <t xml:space="preserve">May2015 Consutltant Fees </t>
  </si>
  <si>
    <t>Total Other Direct Costs</t>
  </si>
  <si>
    <t>Subtract Incentives (Retrof. Task2.4)</t>
  </si>
  <si>
    <t>Subtract Incentives (Retrof. Task2.7)</t>
  </si>
  <si>
    <t>add back adjustment for prior month: Conf. &amp; Ser.</t>
  </si>
  <si>
    <t>Total June 2015 expenses</t>
  </si>
  <si>
    <t>May 2015 conf. &amp; Ser. Expenses billed in July 2015</t>
  </si>
  <si>
    <t>Total unbilled amount on June 30, 2015</t>
  </si>
  <si>
    <t>Acct# 11320-303017-2020 balance on 6/30/2015</t>
  </si>
  <si>
    <t>Variance (A-B) due to accumulative rounding from monthly billings</t>
  </si>
  <si>
    <t>Arup North America Ltd</t>
  </si>
  <si>
    <t>Hours (August)</t>
  </si>
  <si>
    <t>Hours (September)</t>
  </si>
  <si>
    <t>County of San Mateo</t>
  </si>
  <si>
    <t>Total hrs Aug15 &amp; Sep15</t>
  </si>
  <si>
    <t>Total Amount Aug15 &amp; Sep15</t>
  </si>
  <si>
    <t>Codecycle</t>
  </si>
  <si>
    <t>ABAG PC&amp;OH</t>
  </si>
  <si>
    <t>11320 bal. 1st Dec15 close</t>
  </si>
  <si>
    <t>Variance (A&amp;B)</t>
  </si>
  <si>
    <t>ODC</t>
  </si>
  <si>
    <t>11320 bal. 2nd Dec15 close</t>
  </si>
  <si>
    <t>Dec2015 Rollup invoice amount</t>
  </si>
  <si>
    <t>variance</t>
  </si>
  <si>
    <t>2015 contract ended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</si>
</sst>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17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0" fontId="0" fillId="0" borderId="1" xfId="0" applyBorder="1"/>
    <xf numFmtId="0" fontId="0" fillId="0" borderId="0" xfId="0" applyBorder="1"/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left" wrapText="1"/>
    </xf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0" fillId="0" borderId="0" xfId="0" applyAlignment="1">
      <alignment horizontal="right"/>
    </xf>
    <xf numFmtId="0" fontId="4" fillId="0" borderId="1" xfId="0" applyFont="1" applyBorder="1"/>
    <xf numFmtId="4" fontId="4" fillId="0" borderId="0" xfId="0" applyNumberFormat="1" applyFont="1"/>
    <xf numFmtId="0" fontId="0" fillId="2" borderId="0" xfId="0" applyFill="1" applyAlignment="1">
      <alignment wrapText="1"/>
    </xf>
    <xf numFmtId="17" fontId="0" fillId="0" borderId="0" xfId="0" applyNumberFormat="1" applyAlignment="1">
      <alignment horizontal="center"/>
    </xf>
    <xf numFmtId="164" fontId="4" fillId="0" borderId="0" xfId="0" applyNumberFormat="1" applyFont="1" applyBorder="1"/>
    <xf numFmtId="4" fontId="3" fillId="0" borderId="0" xfId="0" applyNumberFormat="1" applyFont="1" applyBorder="1"/>
    <xf numFmtId="4" fontId="0" fillId="0" borderId="0" xfId="0" applyNumberFormat="1" applyFont="1"/>
    <xf numFmtId="44" fontId="0" fillId="0" borderId="0" xfId="1" applyFont="1"/>
    <xf numFmtId="0" fontId="4" fillId="0" borderId="0" xfId="0" applyFont="1"/>
    <xf numFmtId="4" fontId="4" fillId="0" borderId="1" xfId="0" applyNumberFormat="1" applyFont="1" applyBorder="1"/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0" fillId="0" borderId="1" xfId="0" applyNumberFormat="1" applyFont="1" applyBorder="1"/>
    <xf numFmtId="17" fontId="0" fillId="0" borderId="0" xfId="0" applyNumberFormat="1" applyAlignment="1">
      <alignment horizontal="center"/>
    </xf>
    <xf numFmtId="17" fontId="4" fillId="0" borderId="0" xfId="0" applyNumberFormat="1" applyFont="1" applyAlignment="1">
      <alignment horizontal="center"/>
    </xf>
    <xf numFmtId="17" fontId="4" fillId="0" borderId="2" xfId="0" applyNumberFormat="1" applyFont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3:CI52"/>
  <sheetViews>
    <sheetView topLeftCell="A3" workbookViewId="0">
      <pane xSplit="2" ySplit="2" topLeftCell="BM13" activePane="bottomRight" state="frozen"/>
      <selection activeCell="A3" sqref="A3"/>
      <selection pane="topRight" activeCell="C3" sqref="C3"/>
      <selection pane="bottomLeft" activeCell="A5" sqref="A5"/>
      <selection pane="bottomRight" activeCell="BY36" sqref="BY36"/>
    </sheetView>
  </sheetViews>
  <sheetFormatPr defaultRowHeight="15" x14ac:dyDescent="0.25"/>
  <cols>
    <col min="2" max="8" width="26.5703125" customWidth="1"/>
    <col min="9" max="9" width="17.42578125" customWidth="1"/>
    <col min="11" max="11" width="19.5703125" customWidth="1"/>
    <col min="13" max="13" width="10.140625" bestFit="1" customWidth="1"/>
    <col min="14" max="14" width="10.140625" customWidth="1"/>
    <col min="16" max="16" width="21.85546875" customWidth="1"/>
    <col min="17" max="17" width="10.140625" bestFit="1" customWidth="1"/>
    <col min="18" max="18" width="16.5703125" customWidth="1"/>
    <col min="20" max="20" width="10.140625" bestFit="1" customWidth="1"/>
    <col min="22" max="22" width="10.140625" bestFit="1" customWidth="1"/>
    <col min="23" max="23" width="16.140625" customWidth="1"/>
    <col min="25" max="25" width="10.42578125" customWidth="1"/>
    <col min="26" max="26" width="10.140625" bestFit="1" customWidth="1"/>
    <col min="27" max="27" width="16.28515625" customWidth="1"/>
    <col min="28" max="28" width="12.85546875" customWidth="1"/>
    <col min="29" max="29" width="11.7109375" bestFit="1" customWidth="1"/>
    <col min="31" max="31" width="11.7109375" bestFit="1" customWidth="1"/>
    <col min="32" max="32" width="17.140625" customWidth="1"/>
    <col min="34" max="35" width="11.7109375" bestFit="1" customWidth="1"/>
    <col min="36" max="36" width="13.42578125" customWidth="1"/>
    <col min="37" max="37" width="19.28515625" customWidth="1"/>
    <col min="38" max="39" width="13.42578125" customWidth="1"/>
    <col min="40" max="40" width="20.7109375" customWidth="1"/>
    <col min="41" max="41" width="7.42578125" customWidth="1"/>
    <col min="42" max="45" width="20.7109375" customWidth="1"/>
    <col min="46" max="46" width="23.42578125" customWidth="1"/>
    <col min="47" max="47" width="16.42578125" bestFit="1" customWidth="1"/>
    <col min="48" max="48" width="19.140625" customWidth="1"/>
    <col min="49" max="49" width="21.85546875" customWidth="1"/>
    <col min="51" max="51" width="16.42578125" customWidth="1"/>
    <col min="52" max="52" width="20.28515625" customWidth="1"/>
    <col min="53" max="53" width="11.7109375" bestFit="1" customWidth="1"/>
    <col min="54" max="54" width="18" customWidth="1"/>
    <col min="56" max="56" width="18.7109375" customWidth="1"/>
    <col min="57" max="57" width="12.42578125" bestFit="1" customWidth="1"/>
    <col min="58" max="58" width="13.5703125" bestFit="1" customWidth="1"/>
    <col min="60" max="60" width="17.85546875" bestFit="1" customWidth="1"/>
    <col min="61" max="61" width="10.140625" bestFit="1" customWidth="1"/>
    <col min="62" max="62" width="18.28515625" customWidth="1"/>
    <col min="64" max="64" width="11.28515625" customWidth="1"/>
    <col min="65" max="65" width="20" customWidth="1"/>
    <col min="67" max="67" width="10.85546875" bestFit="1" customWidth="1"/>
    <col min="68" max="68" width="16.7109375" bestFit="1" customWidth="1"/>
    <col min="70" max="70" width="12" bestFit="1" customWidth="1"/>
    <col min="71" max="71" width="17.85546875" bestFit="1" customWidth="1"/>
    <col min="72" max="72" width="10.140625" bestFit="1" customWidth="1"/>
    <col min="74" max="74" width="16.7109375" bestFit="1" customWidth="1"/>
    <col min="77" max="77" width="17" customWidth="1"/>
    <col min="78" max="78" width="11.7109375" bestFit="1" customWidth="1"/>
    <col min="80" max="80" width="17.140625" customWidth="1"/>
    <col min="83" max="83" width="12.85546875" bestFit="1" customWidth="1"/>
    <col min="84" max="84" width="11.7109375" bestFit="1" customWidth="1"/>
    <col min="85" max="85" width="10.140625" bestFit="1" customWidth="1"/>
    <col min="87" max="87" width="10.140625" bestFit="1" customWidth="1"/>
  </cols>
  <sheetData>
    <row r="3" spans="2:85" x14ac:dyDescent="0.25">
      <c r="C3" s="1">
        <v>41365</v>
      </c>
      <c r="D3" s="1">
        <v>41395</v>
      </c>
      <c r="E3" s="1">
        <v>41426</v>
      </c>
      <c r="F3" s="1">
        <v>41456</v>
      </c>
      <c r="G3" s="1">
        <v>41487</v>
      </c>
      <c r="H3" s="1">
        <v>41518</v>
      </c>
      <c r="J3" s="1">
        <v>41548</v>
      </c>
      <c r="M3" s="1">
        <v>41579</v>
      </c>
      <c r="N3" s="1"/>
      <c r="O3" s="27">
        <v>41621</v>
      </c>
      <c r="P3" s="27"/>
      <c r="S3" s="27">
        <v>41640</v>
      </c>
      <c r="T3" s="27"/>
      <c r="X3" s="27">
        <v>41671</v>
      </c>
      <c r="Y3" s="27"/>
      <c r="AB3" s="27">
        <v>41699</v>
      </c>
      <c r="AC3" s="27"/>
      <c r="AF3" s="27">
        <v>41743</v>
      </c>
      <c r="AG3" s="27"/>
      <c r="AK3" s="27">
        <v>41773</v>
      </c>
      <c r="AL3" s="27"/>
      <c r="AP3" s="27">
        <v>41804</v>
      </c>
      <c r="AQ3" s="27"/>
      <c r="AY3" s="27">
        <v>41821</v>
      </c>
      <c r="AZ3" s="27"/>
      <c r="BD3" s="27">
        <v>41852</v>
      </c>
      <c r="BE3" s="27"/>
      <c r="BF3" s="16"/>
      <c r="BJ3" s="1">
        <v>41883</v>
      </c>
      <c r="BP3" s="1">
        <v>41913</v>
      </c>
      <c r="BV3" s="1">
        <v>41944</v>
      </c>
      <c r="CB3" s="1">
        <v>41974</v>
      </c>
    </row>
    <row r="4" spans="2:85" x14ac:dyDescent="0.25">
      <c r="I4" t="s">
        <v>6</v>
      </c>
      <c r="J4" t="s">
        <v>7</v>
      </c>
      <c r="K4" t="s">
        <v>8</v>
      </c>
      <c r="M4" t="s">
        <v>8</v>
      </c>
      <c r="O4" t="s">
        <v>7</v>
      </c>
      <c r="P4" t="s">
        <v>8</v>
      </c>
      <c r="R4" t="s">
        <v>6</v>
      </c>
      <c r="S4" t="s">
        <v>7</v>
      </c>
      <c r="T4" t="s">
        <v>8</v>
      </c>
      <c r="W4" t="s">
        <v>6</v>
      </c>
      <c r="X4" t="s">
        <v>7</v>
      </c>
      <c r="Y4" t="s">
        <v>8</v>
      </c>
      <c r="AA4" t="s">
        <v>6</v>
      </c>
      <c r="AB4" t="s">
        <v>7</v>
      </c>
      <c r="AC4" t="s">
        <v>8</v>
      </c>
      <c r="AF4" t="s">
        <v>6</v>
      </c>
      <c r="AG4" t="s">
        <v>7</v>
      </c>
      <c r="AH4" t="s">
        <v>8</v>
      </c>
      <c r="AI4" t="s">
        <v>41</v>
      </c>
      <c r="AK4" t="s">
        <v>6</v>
      </c>
      <c r="AL4" t="s">
        <v>7</v>
      </c>
      <c r="AM4" t="s">
        <v>8</v>
      </c>
      <c r="AN4" t="s">
        <v>41</v>
      </c>
      <c r="AP4" t="s">
        <v>6</v>
      </c>
      <c r="AQ4" t="s">
        <v>7</v>
      </c>
      <c r="AR4" t="s">
        <v>8</v>
      </c>
      <c r="AS4" t="s">
        <v>41</v>
      </c>
      <c r="AT4" s="13" t="s">
        <v>62</v>
      </c>
      <c r="AU4" s="13"/>
      <c r="AV4" s="13"/>
      <c r="AW4" s="13"/>
      <c r="AY4" t="s">
        <v>6</v>
      </c>
      <c r="AZ4" t="s">
        <v>7</v>
      </c>
      <c r="BA4" t="s">
        <v>8</v>
      </c>
      <c r="BB4" t="s">
        <v>41</v>
      </c>
      <c r="BD4" t="s">
        <v>6</v>
      </c>
      <c r="BE4" t="s">
        <v>69</v>
      </c>
      <c r="BF4" t="s">
        <v>70</v>
      </c>
      <c r="BG4" t="s">
        <v>8</v>
      </c>
      <c r="BH4" t="s">
        <v>41</v>
      </c>
      <c r="BJ4" t="s">
        <v>6</v>
      </c>
      <c r="BK4" t="s">
        <v>7</v>
      </c>
      <c r="BL4" t="s">
        <v>8</v>
      </c>
      <c r="BM4" t="s">
        <v>41</v>
      </c>
      <c r="BP4" t="s">
        <v>6</v>
      </c>
      <c r="BQ4" t="s">
        <v>7</v>
      </c>
      <c r="BR4" t="s">
        <v>8</v>
      </c>
      <c r="BS4" t="s">
        <v>41</v>
      </c>
      <c r="BV4" t="s">
        <v>6</v>
      </c>
      <c r="BW4" t="s">
        <v>7</v>
      </c>
      <c r="BX4" t="s">
        <v>8</v>
      </c>
      <c r="BY4" t="s">
        <v>41</v>
      </c>
      <c r="CB4" t="s">
        <v>6</v>
      </c>
      <c r="CC4" t="s">
        <v>7</v>
      </c>
      <c r="CD4" t="s">
        <v>8</v>
      </c>
      <c r="CE4" t="s">
        <v>41</v>
      </c>
    </row>
    <row r="5" spans="2:85" x14ac:dyDescent="0.25">
      <c r="B5" t="s">
        <v>0</v>
      </c>
      <c r="C5" s="2"/>
      <c r="D5" s="2"/>
      <c r="E5" s="2"/>
      <c r="F5" s="2"/>
      <c r="G5" s="2"/>
      <c r="H5" s="2"/>
      <c r="I5">
        <v>173.19</v>
      </c>
      <c r="J5">
        <v>64</v>
      </c>
      <c r="K5" s="2">
        <f>I5*J5</f>
        <v>11084.16</v>
      </c>
      <c r="M5" s="2"/>
      <c r="N5" s="2"/>
      <c r="O5" s="2">
        <f>46+36</f>
        <v>82</v>
      </c>
      <c r="P5" s="2">
        <f>I5*O5</f>
        <v>14201.58</v>
      </c>
      <c r="Q5" s="2"/>
      <c r="R5" s="2">
        <f>122.07*1.4295</f>
        <v>174.499065</v>
      </c>
      <c r="S5" s="2">
        <v>62</v>
      </c>
      <c r="T5" s="2">
        <f>R5*S5</f>
        <v>10818.94203</v>
      </c>
      <c r="W5" s="2">
        <f>122.07*1.4295</f>
        <v>174.499065</v>
      </c>
      <c r="X5">
        <v>62</v>
      </c>
      <c r="Y5" s="2">
        <f>W5*X5</f>
        <v>10818.94203</v>
      </c>
      <c r="AA5" s="2">
        <f>122.07*1.4295</f>
        <v>174.499065</v>
      </c>
      <c r="AB5">
        <v>70</v>
      </c>
      <c r="AC5" s="2">
        <f>AA5*AB5</f>
        <v>12214.93455</v>
      </c>
      <c r="AF5" s="2">
        <f>122.07*1.4295</f>
        <v>174.499065</v>
      </c>
      <c r="AG5">
        <v>77</v>
      </c>
      <c r="AH5" s="2">
        <f>AF5*AG5</f>
        <v>13436.428005</v>
      </c>
      <c r="AI5" s="2">
        <f>174.5*AG5</f>
        <v>13436.5</v>
      </c>
      <c r="AK5" s="2">
        <f>122.07*1.4295</f>
        <v>174.499065</v>
      </c>
      <c r="AL5">
        <v>75</v>
      </c>
      <c r="AM5" s="2">
        <f>AK5*AL5</f>
        <v>13087.429875</v>
      </c>
      <c r="AN5">
        <f>174.5*AL5</f>
        <v>13087.5</v>
      </c>
      <c r="AP5" s="2">
        <f>122.07*1.4295</f>
        <v>174.499065</v>
      </c>
      <c r="AQ5">
        <v>66</v>
      </c>
      <c r="AR5" s="2">
        <f>AP5*AQ5</f>
        <v>11516.93829</v>
      </c>
      <c r="AS5" s="2">
        <f>174.5*AQ5</f>
        <v>11517</v>
      </c>
      <c r="AU5" s="2" t="s">
        <v>59</v>
      </c>
      <c r="AV5" t="s">
        <v>60</v>
      </c>
      <c r="AW5" s="12" t="s">
        <v>61</v>
      </c>
      <c r="BD5" s="2">
        <f>121.76*1.4495</f>
        <v>176.49112</v>
      </c>
      <c r="BE5">
        <v>65</v>
      </c>
      <c r="BF5">
        <v>51</v>
      </c>
      <c r="BG5" s="2">
        <f>BD5*(BE5+BF5)</f>
        <v>20472.96992</v>
      </c>
      <c r="BH5" s="2">
        <f>176.49*(BE5+BF5)</f>
        <v>20472.84</v>
      </c>
      <c r="BJ5" s="2">
        <f>121.76*1.4495</f>
        <v>176.49112</v>
      </c>
      <c r="BK5">
        <v>63</v>
      </c>
      <c r="BL5" s="2">
        <f>BJ5*BK5</f>
        <v>11118.940559999999</v>
      </c>
      <c r="BM5" s="2">
        <f>176.49*BK5</f>
        <v>11118.87</v>
      </c>
      <c r="BP5" s="2">
        <f>121.76*1.4495</f>
        <v>176.49112</v>
      </c>
      <c r="BQ5">
        <v>59</v>
      </c>
      <c r="BR5" s="2">
        <f>BP5*BQ5</f>
        <v>10412.97608</v>
      </c>
      <c r="BS5" s="2">
        <f>176.49*59</f>
        <v>10412.91</v>
      </c>
      <c r="BV5" s="2">
        <f>121.76*1.4495</f>
        <v>176.49112</v>
      </c>
      <c r="BW5">
        <v>55</v>
      </c>
      <c r="BX5" s="2">
        <f>BV5*BW5</f>
        <v>9707.0115999999998</v>
      </c>
      <c r="BY5" s="2">
        <f>176.49*BW5</f>
        <v>9706.9500000000007</v>
      </c>
      <c r="CB5" s="2">
        <f>121.76*1.4495</f>
        <v>176.49112</v>
      </c>
      <c r="CC5">
        <v>56</v>
      </c>
      <c r="CD5" s="2">
        <f>CB5*CC5</f>
        <v>9883.5027200000004</v>
      </c>
      <c r="CE5" s="2">
        <f>CC5*176.49</f>
        <v>9883.44</v>
      </c>
    </row>
    <row r="6" spans="2:85" ht="18.75" x14ac:dyDescent="0.3">
      <c r="B6" t="s">
        <v>1</v>
      </c>
      <c r="C6" s="2"/>
      <c r="D6" s="2"/>
      <c r="E6" s="2"/>
      <c r="F6" s="2"/>
      <c r="G6" s="2"/>
      <c r="H6" s="2"/>
      <c r="I6">
        <v>112.79</v>
      </c>
      <c r="J6">
        <v>176</v>
      </c>
      <c r="K6" s="2">
        <f t="shared" ref="K6:K11" si="0">I6*J6</f>
        <v>19851.04</v>
      </c>
      <c r="M6" s="2"/>
      <c r="N6" s="2"/>
      <c r="O6" s="2">
        <f>144+124</f>
        <v>268</v>
      </c>
      <c r="P6" s="2">
        <f>I6*O6</f>
        <v>30227.72</v>
      </c>
      <c r="Q6" s="2"/>
      <c r="R6" s="2">
        <f>83.54*1.4295</f>
        <v>119.42043000000001</v>
      </c>
      <c r="S6" s="2">
        <v>168</v>
      </c>
      <c r="T6" s="2">
        <f t="shared" ref="T6:T11" si="1">R6*S6</f>
        <v>20062.632240000003</v>
      </c>
      <c r="W6" s="2">
        <f>83.54*1.4295</f>
        <v>119.42043000000001</v>
      </c>
      <c r="X6">
        <v>145</v>
      </c>
      <c r="Y6" s="2">
        <f t="shared" ref="Y6:Y11" si="2">W6*X6</f>
        <v>17315.962350000002</v>
      </c>
      <c r="AA6" s="2">
        <f>83.54*1.4295</f>
        <v>119.42043000000001</v>
      </c>
      <c r="AB6">
        <v>160</v>
      </c>
      <c r="AC6" s="2">
        <f t="shared" ref="AC6:AC12" si="3">AA6*AB6</f>
        <v>19107.268800000002</v>
      </c>
      <c r="AF6" s="2">
        <f>83.54*1.4295</f>
        <v>119.42043000000001</v>
      </c>
      <c r="AG6">
        <v>136</v>
      </c>
      <c r="AH6" s="2">
        <f t="shared" ref="AH6:AH13" si="4">AF6*AG6</f>
        <v>16241.178480000002</v>
      </c>
      <c r="AI6" s="2">
        <f>119.42*AG6</f>
        <v>16241.12</v>
      </c>
      <c r="AK6" s="2">
        <f>83.54*1.4295</f>
        <v>119.42043000000001</v>
      </c>
      <c r="AL6">
        <v>168</v>
      </c>
      <c r="AM6" s="2">
        <f t="shared" ref="AM6:AM11" si="5">AK6*AL6</f>
        <v>20062.632240000003</v>
      </c>
      <c r="AN6">
        <f>119.42*AL6</f>
        <v>20062.560000000001</v>
      </c>
      <c r="AP6" s="2">
        <f>83.54*1.4295</f>
        <v>119.42043000000001</v>
      </c>
      <c r="AQ6">
        <v>93</v>
      </c>
      <c r="AR6" s="2">
        <f t="shared" ref="AR6:AR11" si="6">AP6*AQ6</f>
        <v>11106.099990000001</v>
      </c>
      <c r="AS6" s="2">
        <f>119.42*93</f>
        <v>11106.06</v>
      </c>
      <c r="AT6" s="9" t="s">
        <v>42</v>
      </c>
      <c r="AU6" s="10">
        <v>15056.5</v>
      </c>
      <c r="AV6" s="10">
        <v>125876.56</v>
      </c>
      <c r="AW6" s="10">
        <f>AV6-AU6</f>
        <v>110820.06</v>
      </c>
      <c r="BD6" s="2">
        <f>83.33*1.4495</f>
        <v>120.786835</v>
      </c>
      <c r="BE6">
        <v>172</v>
      </c>
      <c r="BF6">
        <v>129</v>
      </c>
      <c r="BG6" s="2">
        <f t="shared" ref="BG6:BG13" si="7">BD6*(BE6+BF6)</f>
        <v>36356.837334999997</v>
      </c>
      <c r="BH6" s="2">
        <f>120.79*(BE6+BF6)</f>
        <v>36357.79</v>
      </c>
      <c r="BJ6" s="2">
        <f>83.33*1.4495</f>
        <v>120.786835</v>
      </c>
      <c r="BK6">
        <v>152</v>
      </c>
      <c r="BL6" s="2">
        <f t="shared" ref="BL6:BL11" si="8">BJ6*BK6</f>
        <v>18359.59892</v>
      </c>
      <c r="BM6" s="2">
        <f>120.79*BK6</f>
        <v>18360.080000000002</v>
      </c>
      <c r="BP6" s="2">
        <f>83.33*1.4495</f>
        <v>120.786835</v>
      </c>
      <c r="BQ6">
        <v>169</v>
      </c>
      <c r="BR6" s="2">
        <f t="shared" ref="BR6:BR10" si="9">BP6*BQ6</f>
        <v>20412.975115000001</v>
      </c>
      <c r="BS6" s="2">
        <f>120.79*169</f>
        <v>20413.510000000002</v>
      </c>
      <c r="BV6" s="2">
        <f>83.33*1.4495</f>
        <v>120.786835</v>
      </c>
      <c r="BW6">
        <v>120</v>
      </c>
      <c r="BX6" s="2">
        <f t="shared" ref="BX6:BX10" si="10">BV6*BW6</f>
        <v>14494.4202</v>
      </c>
      <c r="BY6" s="2">
        <f>120.79*BW6</f>
        <v>14494.800000000001</v>
      </c>
      <c r="CB6" s="2">
        <f>83.33*1.4495</f>
        <v>120.786835</v>
      </c>
      <c r="CC6">
        <v>141</v>
      </c>
      <c r="CD6" s="2">
        <f t="shared" ref="CD6:CD11" si="11">CB6*CC6</f>
        <v>17030.943735000001</v>
      </c>
      <c r="CE6" s="2">
        <f>CC6*120.79</f>
        <v>17031.39</v>
      </c>
    </row>
    <row r="7" spans="2:85" ht="18.75" x14ac:dyDescent="0.3">
      <c r="B7" t="s">
        <v>2</v>
      </c>
      <c r="C7" s="2"/>
      <c r="D7" s="2"/>
      <c r="E7" s="2"/>
      <c r="F7" s="2"/>
      <c r="G7" s="2"/>
      <c r="H7" s="2"/>
      <c r="I7">
        <v>108.97</v>
      </c>
      <c r="J7">
        <v>134.6</v>
      </c>
      <c r="K7" s="2">
        <f t="shared" si="0"/>
        <v>14667.361999999999</v>
      </c>
      <c r="M7" s="2"/>
      <c r="N7" s="2"/>
      <c r="O7" s="2">
        <f>108.8</f>
        <v>108.8</v>
      </c>
      <c r="P7" s="2">
        <f t="shared" ref="P7:P12" si="12">I7*O7</f>
        <v>11855.936</v>
      </c>
      <c r="Q7" s="2"/>
      <c r="R7" s="2">
        <f>77.91*1.4295</f>
        <v>111.372345</v>
      </c>
      <c r="S7" s="2">
        <v>139.19999999999999</v>
      </c>
      <c r="T7" s="2">
        <f t="shared" si="1"/>
        <v>15503.030423999999</v>
      </c>
      <c r="W7" s="2">
        <f>75.35*1.4295</f>
        <v>107.712825</v>
      </c>
      <c r="X7">
        <v>145.5</v>
      </c>
      <c r="Y7" s="2">
        <f t="shared" si="2"/>
        <v>15672.216037499998</v>
      </c>
      <c r="AA7" s="2">
        <f>75.49*1.4295</f>
        <v>107.912955</v>
      </c>
      <c r="AB7">
        <v>156</v>
      </c>
      <c r="AC7" s="2">
        <f t="shared" si="3"/>
        <v>16834.420979999999</v>
      </c>
      <c r="AF7" s="2">
        <f>75.49*1.4295</f>
        <v>107.912955</v>
      </c>
      <c r="AG7">
        <v>88</v>
      </c>
      <c r="AH7" s="2">
        <f t="shared" si="4"/>
        <v>9496.3400399999991</v>
      </c>
      <c r="AI7" s="2">
        <f>107.91*AG7</f>
        <v>9496.08</v>
      </c>
      <c r="AK7" s="2">
        <f>75.49*1.4295</f>
        <v>107.912955</v>
      </c>
      <c r="AL7">
        <v>161</v>
      </c>
      <c r="AM7" s="2">
        <f t="shared" si="5"/>
        <v>17373.985754999998</v>
      </c>
      <c r="AN7">
        <f>107.91*AL7</f>
        <v>17373.509999999998</v>
      </c>
      <c r="AP7" s="2">
        <f>78.73*1.4295</f>
        <v>112.54453500000001</v>
      </c>
      <c r="AQ7">
        <v>160</v>
      </c>
      <c r="AR7" s="2">
        <f t="shared" si="6"/>
        <v>18007.125600000003</v>
      </c>
      <c r="AS7" s="2">
        <f>112.54*160</f>
        <v>18006.400000000001</v>
      </c>
      <c r="AT7" s="9" t="s">
        <v>43</v>
      </c>
      <c r="AU7" s="10">
        <v>809.66</v>
      </c>
      <c r="AV7" s="10">
        <v>11964.17</v>
      </c>
      <c r="AW7" s="10">
        <f t="shared" ref="AW7:AW17" si="13">AV7-AU7</f>
        <v>11154.51</v>
      </c>
      <c r="BD7" s="2">
        <f>81.34*1.4495</f>
        <v>117.90233000000001</v>
      </c>
      <c r="BE7">
        <v>96</v>
      </c>
      <c r="BF7">
        <v>165</v>
      </c>
      <c r="BG7" s="2">
        <f t="shared" si="7"/>
        <v>30772.508130000002</v>
      </c>
      <c r="BH7" s="2">
        <f>117.9*(BE7+BF7)</f>
        <v>30771.9</v>
      </c>
      <c r="BJ7" s="2">
        <f>81.52*1.4495</f>
        <v>118.16324</v>
      </c>
      <c r="BK7">
        <v>133</v>
      </c>
      <c r="BL7" s="2">
        <f t="shared" si="8"/>
        <v>15715.71092</v>
      </c>
      <c r="BM7" s="2">
        <f>118.16*BK7</f>
        <v>15715.279999999999</v>
      </c>
      <c r="BP7" s="2">
        <f>68.57*1.4495</f>
        <v>99.392214999999993</v>
      </c>
      <c r="BQ7">
        <v>172</v>
      </c>
      <c r="BR7" s="2">
        <f t="shared" si="9"/>
        <v>17095.46098</v>
      </c>
      <c r="BS7" s="2">
        <f>99.39*172</f>
        <v>17095.080000000002</v>
      </c>
      <c r="BV7" s="2">
        <f>68.57*1.4495</f>
        <v>99.392214999999993</v>
      </c>
      <c r="BW7">
        <v>132</v>
      </c>
      <c r="BX7" s="2">
        <f t="shared" si="10"/>
        <v>13119.772379999999</v>
      </c>
      <c r="BY7" s="2">
        <f>99.39*BW7</f>
        <v>13119.48</v>
      </c>
      <c r="CB7" s="2">
        <f>68.57*1.4495</f>
        <v>99.392214999999993</v>
      </c>
      <c r="CC7">
        <v>80</v>
      </c>
      <c r="CD7" s="2">
        <f t="shared" si="11"/>
        <v>7951.377199999999</v>
      </c>
      <c r="CE7" s="2">
        <f>CC7*99.39</f>
        <v>7951.2</v>
      </c>
    </row>
    <row r="8" spans="2:85" ht="18.75" x14ac:dyDescent="0.3">
      <c r="B8" t="s">
        <v>2</v>
      </c>
      <c r="C8" s="2"/>
      <c r="D8" s="2"/>
      <c r="E8" s="2"/>
      <c r="F8" s="2"/>
      <c r="G8" s="2"/>
      <c r="H8" s="2"/>
      <c r="I8">
        <v>109.61</v>
      </c>
      <c r="K8" s="2"/>
      <c r="M8" s="2"/>
      <c r="N8" s="2"/>
      <c r="O8" s="2">
        <v>129.6</v>
      </c>
      <c r="P8" s="2">
        <f t="shared" si="12"/>
        <v>14205.456</v>
      </c>
      <c r="Q8" s="2"/>
      <c r="R8" s="2"/>
      <c r="S8" s="2"/>
      <c r="T8" s="2"/>
      <c r="W8" s="2"/>
      <c r="Y8" s="2"/>
      <c r="AC8" s="2"/>
      <c r="AF8" s="2"/>
      <c r="AH8" s="2"/>
      <c r="AI8" s="2"/>
      <c r="AK8" s="2"/>
      <c r="AM8" s="2"/>
      <c r="AP8" s="2"/>
      <c r="AR8" s="2"/>
      <c r="AS8" s="2"/>
      <c r="AT8" s="9" t="s">
        <v>44</v>
      </c>
      <c r="AU8" s="10">
        <v>6186.64</v>
      </c>
      <c r="AV8" s="10">
        <v>36380.19</v>
      </c>
      <c r="AW8" s="10">
        <f t="shared" si="13"/>
        <v>30193.550000000003</v>
      </c>
      <c r="BD8" s="2"/>
      <c r="BG8" s="2"/>
      <c r="BH8" s="2"/>
      <c r="BJ8" s="2"/>
      <c r="BL8" s="2"/>
      <c r="BM8" s="2"/>
      <c r="BP8" s="2"/>
      <c r="BR8" s="2"/>
      <c r="BS8" s="2"/>
      <c r="BV8" s="2"/>
      <c r="BX8" s="2"/>
      <c r="BY8" s="2"/>
      <c r="CB8" s="2"/>
      <c r="CD8" s="2"/>
      <c r="CE8" s="2"/>
    </row>
    <row r="9" spans="2:85" ht="18.75" x14ac:dyDescent="0.3">
      <c r="B9" t="s">
        <v>3</v>
      </c>
      <c r="C9" s="2"/>
      <c r="D9" s="2"/>
      <c r="E9" s="2"/>
      <c r="F9" s="2"/>
      <c r="G9" s="2"/>
      <c r="H9" s="2"/>
      <c r="I9">
        <v>154.22999999999999</v>
      </c>
      <c r="J9">
        <v>3</v>
      </c>
      <c r="K9" s="2">
        <f t="shared" si="0"/>
        <v>462.68999999999994</v>
      </c>
      <c r="M9" s="2"/>
      <c r="N9" s="2"/>
      <c r="O9" s="2">
        <f>1+1</f>
        <v>2</v>
      </c>
      <c r="P9" s="2">
        <f t="shared" si="12"/>
        <v>308.45999999999998</v>
      </c>
      <c r="Q9" s="2"/>
      <c r="R9" s="2">
        <f>108.43*1.4295</f>
        <v>155.000685</v>
      </c>
      <c r="S9" s="2">
        <v>1</v>
      </c>
      <c r="T9" s="2">
        <f t="shared" si="1"/>
        <v>155.000685</v>
      </c>
      <c r="W9" s="2">
        <f>108.43*1.4295</f>
        <v>155.000685</v>
      </c>
      <c r="X9">
        <v>2.5</v>
      </c>
      <c r="Y9" s="2">
        <f t="shared" si="2"/>
        <v>387.5017125</v>
      </c>
      <c r="AA9" s="2">
        <f>108.55*1.4295</f>
        <v>155.172225</v>
      </c>
      <c r="AB9">
        <v>3.5</v>
      </c>
      <c r="AC9" s="2">
        <f t="shared" si="3"/>
        <v>543.10278749999998</v>
      </c>
      <c r="AF9" s="2">
        <f>108.55*1.4295</f>
        <v>155.172225</v>
      </c>
      <c r="AG9">
        <v>2</v>
      </c>
      <c r="AH9" s="2">
        <f t="shared" si="4"/>
        <v>310.34444999999999</v>
      </c>
      <c r="AI9" s="2">
        <f>155.17*AG9</f>
        <v>310.33999999999997</v>
      </c>
      <c r="AK9" s="2">
        <f>108.55*1.4295</f>
        <v>155.172225</v>
      </c>
      <c r="AL9">
        <v>2</v>
      </c>
      <c r="AM9" s="2">
        <f t="shared" si="5"/>
        <v>310.34444999999999</v>
      </c>
      <c r="AN9">
        <f>155.17*AL9</f>
        <v>310.33999999999997</v>
      </c>
      <c r="AP9" s="2">
        <f>108.55*1.4295</f>
        <v>155.172225</v>
      </c>
      <c r="AQ9">
        <v>0.5</v>
      </c>
      <c r="AR9" s="2">
        <f t="shared" si="6"/>
        <v>77.586112499999999</v>
      </c>
      <c r="AS9" s="2">
        <f>155.17*0.5</f>
        <v>77.584999999999994</v>
      </c>
      <c r="AT9" s="9" t="s">
        <v>45</v>
      </c>
      <c r="AU9" s="10"/>
      <c r="AV9" s="10"/>
      <c r="AW9" s="10">
        <f t="shared" si="13"/>
        <v>0</v>
      </c>
      <c r="BD9" s="2">
        <f>108.23*1.4495</f>
        <v>156.87938500000001</v>
      </c>
      <c r="BE9">
        <v>2</v>
      </c>
      <c r="BF9">
        <v>2</v>
      </c>
      <c r="BG9" s="2">
        <f t="shared" si="7"/>
        <v>627.51754000000005</v>
      </c>
      <c r="BH9" s="2">
        <f>156.88*(BE9+BF9)</f>
        <v>627.52</v>
      </c>
      <c r="BJ9" s="2">
        <f>108.23*1.4495</f>
        <v>156.87938500000001</v>
      </c>
      <c r="BK9">
        <v>2</v>
      </c>
      <c r="BL9" s="2">
        <f t="shared" si="8"/>
        <v>313.75877000000003</v>
      </c>
      <c r="BM9" s="2">
        <f>156.88*BK9</f>
        <v>313.76</v>
      </c>
      <c r="BP9" s="2">
        <f>108.23*1.4495</f>
        <v>156.87938500000001</v>
      </c>
      <c r="BQ9">
        <v>1</v>
      </c>
      <c r="BR9" s="2">
        <f t="shared" si="9"/>
        <v>156.87938500000001</v>
      </c>
      <c r="BS9" s="2">
        <f>156.88*1</f>
        <v>156.88</v>
      </c>
      <c r="BV9" s="2">
        <f>108.23*1.4495</f>
        <v>156.87938500000001</v>
      </c>
      <c r="BW9">
        <v>2</v>
      </c>
      <c r="BX9" s="2">
        <f t="shared" si="10"/>
        <v>313.75877000000003</v>
      </c>
      <c r="BY9" s="2">
        <f>156.88*BW9</f>
        <v>313.76</v>
      </c>
      <c r="CB9" s="2">
        <f>108.23*1.4495</f>
        <v>156.87938500000001</v>
      </c>
      <c r="CC9">
        <f>1+1</f>
        <v>2</v>
      </c>
      <c r="CD9" s="2">
        <f t="shared" si="11"/>
        <v>313.75877000000003</v>
      </c>
      <c r="CE9" s="2">
        <f>CC9*156.88</f>
        <v>313.76</v>
      </c>
    </row>
    <row r="10" spans="2:85" ht="18.75" x14ac:dyDescent="0.3">
      <c r="B10" t="s">
        <v>4</v>
      </c>
      <c r="C10" s="2"/>
      <c r="D10" s="2"/>
      <c r="E10" s="2"/>
      <c r="F10" s="2"/>
      <c r="G10" s="2"/>
      <c r="H10" s="2"/>
      <c r="I10">
        <v>106</v>
      </c>
      <c r="J10">
        <v>9</v>
      </c>
      <c r="K10" s="2">
        <f t="shared" si="0"/>
        <v>954</v>
      </c>
      <c r="M10" s="2"/>
      <c r="N10" s="2"/>
      <c r="O10" s="2">
        <f>6+8</f>
        <v>14</v>
      </c>
      <c r="P10" s="2">
        <f t="shared" si="12"/>
        <v>1484</v>
      </c>
      <c r="Q10" s="2"/>
      <c r="R10" s="2">
        <f>75.22*1.4295</f>
        <v>107.52699</v>
      </c>
      <c r="S10" s="2">
        <v>10</v>
      </c>
      <c r="T10" s="2">
        <f t="shared" si="1"/>
        <v>1075.2699</v>
      </c>
      <c r="W10" s="2">
        <f>75.22*1.4295</f>
        <v>107.52699</v>
      </c>
      <c r="X10">
        <v>10</v>
      </c>
      <c r="Y10" s="2">
        <f t="shared" si="2"/>
        <v>1075.2699</v>
      </c>
      <c r="AA10" s="2">
        <f>75.22*1.4295</f>
        <v>107.52699</v>
      </c>
      <c r="AB10">
        <v>10</v>
      </c>
      <c r="AC10" s="2">
        <f t="shared" si="3"/>
        <v>1075.2699</v>
      </c>
      <c r="AF10" s="2">
        <f>75.22*1.4295</f>
        <v>107.52699</v>
      </c>
      <c r="AG10">
        <v>16</v>
      </c>
      <c r="AH10" s="2">
        <f t="shared" si="4"/>
        <v>1720.43184</v>
      </c>
      <c r="AI10" s="2">
        <f>107.53*16</f>
        <v>1720.48</v>
      </c>
      <c r="AK10" s="2">
        <f>75.22*1.4295</f>
        <v>107.52699</v>
      </c>
      <c r="AL10">
        <v>16</v>
      </c>
      <c r="AM10" s="2">
        <f t="shared" si="5"/>
        <v>1720.43184</v>
      </c>
      <c r="AN10">
        <f>107.53*AL10</f>
        <v>1720.48</v>
      </c>
      <c r="AP10" s="2">
        <f>75.22*1.4295</f>
        <v>107.52699</v>
      </c>
      <c r="AQ10">
        <v>13</v>
      </c>
      <c r="AR10" s="2">
        <f t="shared" si="6"/>
        <v>1397.85087</v>
      </c>
      <c r="AS10" s="2">
        <f>107.53*13</f>
        <v>1397.89</v>
      </c>
      <c r="AT10" s="9" t="s">
        <v>46</v>
      </c>
      <c r="AU10" s="10">
        <v>0</v>
      </c>
      <c r="AV10" s="10">
        <v>24094.17</v>
      </c>
      <c r="AW10" s="10">
        <f t="shared" si="13"/>
        <v>24094.17</v>
      </c>
      <c r="BD10" s="2">
        <f>75.03*1.4495</f>
        <v>108.755985</v>
      </c>
      <c r="BE10">
        <v>10</v>
      </c>
      <c r="BF10">
        <v>12</v>
      </c>
      <c r="BG10" s="2">
        <f t="shared" si="7"/>
        <v>2392.6316699999998</v>
      </c>
      <c r="BH10" s="2">
        <f>108.76*(BE10+BF10)</f>
        <v>2392.7200000000003</v>
      </c>
      <c r="BJ10" s="2">
        <f>75.03*1.4495</f>
        <v>108.755985</v>
      </c>
      <c r="BK10">
        <v>12</v>
      </c>
      <c r="BL10" s="2">
        <f t="shared" si="8"/>
        <v>1305.0718199999999</v>
      </c>
      <c r="BM10" s="2">
        <f>108.76*BK10</f>
        <v>1305.1200000000001</v>
      </c>
      <c r="BP10" s="2">
        <f>75.03*1.4495</f>
        <v>108.755985</v>
      </c>
      <c r="BQ10">
        <v>15</v>
      </c>
      <c r="BR10" s="2">
        <f t="shared" si="9"/>
        <v>1631.3397749999999</v>
      </c>
      <c r="BS10" s="2">
        <f>108.76*15</f>
        <v>1631.4</v>
      </c>
      <c r="BV10" s="2">
        <f>75.03*1.4495</f>
        <v>108.755985</v>
      </c>
      <c r="BW10">
        <v>8</v>
      </c>
      <c r="BX10" s="2">
        <f t="shared" si="10"/>
        <v>870.04787999999996</v>
      </c>
      <c r="BY10" s="2">
        <f>108.76*BW10</f>
        <v>870.08</v>
      </c>
      <c r="CB10" s="2">
        <f>75.03*1.4495</f>
        <v>108.755985</v>
      </c>
      <c r="CC10">
        <v>13</v>
      </c>
      <c r="CD10" s="2">
        <f t="shared" si="11"/>
        <v>1413.8278049999999</v>
      </c>
      <c r="CE10" s="2">
        <f>CC10*108.76</f>
        <v>1413.88</v>
      </c>
    </row>
    <row r="11" spans="2:85" ht="18.75" x14ac:dyDescent="0.3">
      <c r="B11" t="s">
        <v>5</v>
      </c>
      <c r="C11" s="2"/>
      <c r="D11" s="2"/>
      <c r="E11" s="2"/>
      <c r="F11" s="2"/>
      <c r="G11" s="2"/>
      <c r="H11" s="2"/>
      <c r="I11">
        <v>77.98</v>
      </c>
      <c r="J11">
        <v>3.5</v>
      </c>
      <c r="K11" s="4">
        <f t="shared" si="0"/>
        <v>272.93</v>
      </c>
      <c r="M11" s="2"/>
      <c r="N11" s="2"/>
      <c r="O11" s="2">
        <f>2.5</f>
        <v>2.5</v>
      </c>
      <c r="P11" s="2">
        <f t="shared" si="12"/>
        <v>194.95000000000002</v>
      </c>
      <c r="Q11" s="2"/>
      <c r="R11" s="2">
        <f>55.93*1.4295</f>
        <v>79.951935000000006</v>
      </c>
      <c r="S11" s="2">
        <v>2</v>
      </c>
      <c r="T11" s="4">
        <f t="shared" si="1"/>
        <v>159.90387000000001</v>
      </c>
      <c r="W11" s="2">
        <f>55.93*1.4295</f>
        <v>79.951935000000006</v>
      </c>
      <c r="X11">
        <v>1.75</v>
      </c>
      <c r="Y11" s="2">
        <f t="shared" si="2"/>
        <v>139.91588625</v>
      </c>
      <c r="AA11" s="2">
        <f>57.96*1.4295</f>
        <v>82.853819999999999</v>
      </c>
      <c r="AB11">
        <v>5.5</v>
      </c>
      <c r="AC11" s="2">
        <f t="shared" si="3"/>
        <v>455.69601</v>
      </c>
      <c r="AF11" s="2">
        <f>57.96*1.4295</f>
        <v>82.853819999999999</v>
      </c>
      <c r="AG11">
        <v>5</v>
      </c>
      <c r="AH11" s="2">
        <f t="shared" si="4"/>
        <v>414.26909999999998</v>
      </c>
      <c r="AI11" s="2">
        <f>82.85*AG11</f>
        <v>414.25</v>
      </c>
      <c r="AK11" s="2">
        <f>57.96*1.4295</f>
        <v>82.853819999999999</v>
      </c>
      <c r="AL11">
        <v>2.5</v>
      </c>
      <c r="AM11" s="2">
        <f t="shared" si="5"/>
        <v>207.13454999999999</v>
      </c>
      <c r="AN11">
        <f>82.85*AL11</f>
        <v>207.125</v>
      </c>
      <c r="AP11" s="2">
        <f>57.96*1.4295</f>
        <v>82.853819999999999</v>
      </c>
      <c r="AQ11">
        <v>4</v>
      </c>
      <c r="AR11" s="2">
        <f t="shared" si="6"/>
        <v>331.41528</v>
      </c>
      <c r="AS11" s="2">
        <f>82.85*4</f>
        <v>331.4</v>
      </c>
      <c r="AT11" s="9" t="s">
        <v>47</v>
      </c>
      <c r="AU11" s="10">
        <v>4539.91</v>
      </c>
      <c r="AV11" s="10">
        <v>38348.33</v>
      </c>
      <c r="AW11" s="10">
        <f t="shared" si="13"/>
        <v>33808.42</v>
      </c>
      <c r="BD11" s="2">
        <f>57.83*1.4495</f>
        <v>83.824584999999999</v>
      </c>
      <c r="BE11">
        <v>8</v>
      </c>
      <c r="BF11">
        <v>4.5</v>
      </c>
      <c r="BG11" s="2">
        <f t="shared" si="7"/>
        <v>1047.8073125000001</v>
      </c>
      <c r="BH11" s="2">
        <f>83.82*(BE11+BF11)</f>
        <v>1047.75</v>
      </c>
      <c r="BJ11" s="2">
        <f>57.83*1.4495</f>
        <v>83.824584999999999</v>
      </c>
      <c r="BK11">
        <v>8</v>
      </c>
      <c r="BL11" s="2">
        <f t="shared" si="8"/>
        <v>670.59667999999999</v>
      </c>
      <c r="BM11" s="2">
        <f>83.82*BK11</f>
        <v>670.56</v>
      </c>
      <c r="BS11" s="2"/>
      <c r="CB11" s="2">
        <f>57.83*1.4495</f>
        <v>83.824584999999999</v>
      </c>
      <c r="CC11">
        <v>6</v>
      </c>
      <c r="CD11" s="2">
        <f t="shared" si="11"/>
        <v>502.94750999999997</v>
      </c>
      <c r="CE11" s="2">
        <f>CC11*83.82</f>
        <v>502.91999999999996</v>
      </c>
      <c r="CF11" s="2">
        <v>25137.31</v>
      </c>
      <c r="CG11" t="s">
        <v>75</v>
      </c>
    </row>
    <row r="12" spans="2:85" ht="18.75" x14ac:dyDescent="0.3">
      <c r="B12" t="s">
        <v>22</v>
      </c>
      <c r="C12" s="2"/>
      <c r="D12" s="2"/>
      <c r="E12" s="2"/>
      <c r="F12" s="2"/>
      <c r="G12" s="2"/>
      <c r="H12" s="2"/>
      <c r="I12">
        <v>71.760000000000005</v>
      </c>
      <c r="K12" s="3"/>
      <c r="M12" s="2"/>
      <c r="N12" s="2"/>
      <c r="O12" s="2">
        <v>0.5</v>
      </c>
      <c r="P12" s="3">
        <f t="shared" si="12"/>
        <v>35.880000000000003</v>
      </c>
      <c r="Q12" s="2"/>
      <c r="R12" s="2"/>
      <c r="S12" s="2"/>
      <c r="T12" s="3"/>
      <c r="Y12" s="5"/>
      <c r="AA12" s="2">
        <f>50.2*1.4295</f>
        <v>71.760900000000007</v>
      </c>
      <c r="AB12">
        <v>1</v>
      </c>
      <c r="AC12" s="3">
        <f t="shared" si="3"/>
        <v>71.760900000000007</v>
      </c>
      <c r="AF12" s="2"/>
      <c r="AH12" s="2"/>
      <c r="AI12" s="2"/>
      <c r="AM12" s="2"/>
      <c r="AT12" s="9" t="s">
        <v>48</v>
      </c>
      <c r="AU12" s="10"/>
      <c r="AV12" s="10"/>
      <c r="AW12" s="10">
        <f t="shared" si="13"/>
        <v>0</v>
      </c>
      <c r="BA12" s="2"/>
      <c r="BD12" s="2"/>
      <c r="BG12" s="2"/>
      <c r="BH12" s="2"/>
      <c r="BS12" s="2"/>
      <c r="CF12" s="2">
        <v>11299.22</v>
      </c>
      <c r="CG12" t="s">
        <v>76</v>
      </c>
    </row>
    <row r="13" spans="2:85" ht="18.75" x14ac:dyDescent="0.3">
      <c r="B13" t="s">
        <v>39</v>
      </c>
      <c r="C13" s="2"/>
      <c r="D13" s="2"/>
      <c r="E13" s="2"/>
      <c r="F13" s="2"/>
      <c r="G13" s="2"/>
      <c r="H13" s="2"/>
      <c r="K13" s="4"/>
      <c r="M13" s="2"/>
      <c r="N13" s="2"/>
      <c r="O13" s="2"/>
      <c r="P13" s="4"/>
      <c r="Q13" s="2"/>
      <c r="R13" s="2"/>
      <c r="S13" s="2"/>
      <c r="T13" s="4"/>
      <c r="Y13" s="6"/>
      <c r="AA13" s="2"/>
      <c r="AC13" s="4"/>
      <c r="AF13" s="4">
        <f>47.64*1.4295</f>
        <v>68.101380000000006</v>
      </c>
      <c r="AG13">
        <v>1.5</v>
      </c>
      <c r="AH13" s="3">
        <f t="shared" si="4"/>
        <v>102.15207000000001</v>
      </c>
      <c r="AI13" s="3">
        <f>68.1*1.5</f>
        <v>102.14999999999999</v>
      </c>
      <c r="AM13" s="3"/>
      <c r="AN13" s="5"/>
      <c r="AO13" s="6"/>
      <c r="AP13" s="6"/>
      <c r="AQ13" s="5"/>
      <c r="AR13" s="5"/>
      <c r="AS13" s="5"/>
      <c r="AT13" s="9" t="s">
        <v>49</v>
      </c>
      <c r="AU13" s="10"/>
      <c r="AV13" s="10"/>
      <c r="AW13" s="10">
        <f t="shared" si="13"/>
        <v>0</v>
      </c>
      <c r="BA13" s="2"/>
      <c r="BD13" s="2">
        <f>49.56*1.4495</f>
        <v>71.837220000000002</v>
      </c>
      <c r="BE13" s="5"/>
      <c r="BF13" s="5">
        <v>5.5</v>
      </c>
      <c r="BG13" s="3">
        <f t="shared" si="7"/>
        <v>395.10471000000001</v>
      </c>
      <c r="BH13" s="3">
        <f>71.84*(BE13+BF13)</f>
        <v>395.12</v>
      </c>
      <c r="BK13" s="5"/>
      <c r="BL13" s="5"/>
      <c r="BM13" s="5"/>
      <c r="BS13" s="3"/>
      <c r="BY13" s="5"/>
      <c r="CD13" s="5"/>
      <c r="CE13" s="5"/>
      <c r="CF13" s="3">
        <v>659.83</v>
      </c>
      <c r="CG13" t="s">
        <v>77</v>
      </c>
    </row>
    <row r="14" spans="2:85" ht="18.75" x14ac:dyDescent="0.3">
      <c r="B14" t="s">
        <v>26</v>
      </c>
      <c r="C14" s="2"/>
      <c r="D14" s="2">
        <f>41.45+17.8</f>
        <v>59.25</v>
      </c>
      <c r="E14" s="2">
        <f>24770.41+10638.89</f>
        <v>35409.300000000003</v>
      </c>
      <c r="F14" s="2"/>
      <c r="G14" s="2">
        <f>31811.06+13662.85+44067.71</f>
        <v>89541.62</v>
      </c>
      <c r="H14" s="2">
        <f>29131.97+12512.18</f>
        <v>41644.15</v>
      </c>
      <c r="K14" s="2">
        <f>SUM(K5:K11)</f>
        <v>47292.182000000001</v>
      </c>
      <c r="M14" s="2"/>
      <c r="N14" s="2"/>
      <c r="O14" s="2"/>
      <c r="P14" s="2">
        <f>SUM(P5:P12)</f>
        <v>72513.982000000018</v>
      </c>
      <c r="Q14" s="2"/>
      <c r="R14" s="2"/>
      <c r="S14" s="2"/>
      <c r="T14" s="2">
        <f>SUM(T5:T12)</f>
        <v>47774.779149000002</v>
      </c>
      <c r="U14" s="2"/>
      <c r="Y14" s="2">
        <f>SUM(Y5:Y12)</f>
        <v>45409.80791625</v>
      </c>
      <c r="Z14" s="2"/>
      <c r="AB14" s="2"/>
      <c r="AC14" s="2">
        <f>SUM(AC5:AC12)</f>
        <v>50302.453927500006</v>
      </c>
      <c r="AH14" s="2">
        <f>SUM(AH5:AH13)</f>
        <v>41721.143984999995</v>
      </c>
      <c r="AI14" s="2">
        <f>SUM(AI5:AI13)</f>
        <v>41720.920000000006</v>
      </c>
      <c r="AM14" s="2">
        <f>SUM(AM5:AM13)</f>
        <v>52761.958709999992</v>
      </c>
      <c r="AN14" s="2">
        <f>SUM(AN5:AN13)</f>
        <v>52761.514999999992</v>
      </c>
      <c r="AO14" s="2"/>
      <c r="AP14" s="2"/>
      <c r="AQ14" s="2">
        <f>SUM(AQ5:AQ13)</f>
        <v>336.5</v>
      </c>
      <c r="AR14" s="2">
        <f t="shared" ref="AR14:AS14" si="14">SUM(AR5:AR13)</f>
        <v>42437.016142500011</v>
      </c>
      <c r="AS14" s="2">
        <f t="shared" si="14"/>
        <v>42436.334999999999</v>
      </c>
      <c r="AT14" s="9" t="s">
        <v>50</v>
      </c>
      <c r="AU14" s="10">
        <v>0</v>
      </c>
      <c r="AV14" s="10">
        <v>864</v>
      </c>
      <c r="AW14" s="10">
        <f t="shared" si="13"/>
        <v>864</v>
      </c>
      <c r="BA14" s="2"/>
      <c r="BE14">
        <f>SUM(BE5:BE13)</f>
        <v>353</v>
      </c>
      <c r="BF14">
        <f>SUM(BF5:BF13)</f>
        <v>369</v>
      </c>
      <c r="BG14" s="2">
        <f>SUM(BG5:BG13)</f>
        <v>92065.376617499991</v>
      </c>
      <c r="BH14" s="2">
        <f>SUM(BH5:BH13)</f>
        <v>92065.64</v>
      </c>
      <c r="BK14">
        <f>SUM(BK5:BK11)</f>
        <v>370</v>
      </c>
      <c r="BL14" s="2">
        <f t="shared" ref="BL14:BM14" si="15">SUM(BL5:BL11)</f>
        <v>47483.677669999997</v>
      </c>
      <c r="BM14" s="2">
        <f t="shared" si="15"/>
        <v>47483.670000000006</v>
      </c>
      <c r="BN14" s="2"/>
      <c r="BR14" s="2">
        <f>SUM(BR5:BR13)</f>
        <v>49709.631335000005</v>
      </c>
      <c r="BS14" s="2">
        <f>SUM(BS5:BS13)</f>
        <v>49709.78</v>
      </c>
      <c r="BT14" s="2">
        <f>BS5+BS6+BS7+BS9+BS10</f>
        <v>49709.78</v>
      </c>
      <c r="BY14" s="2">
        <f>SUM(BY5:BY10)</f>
        <v>38505.07</v>
      </c>
      <c r="BZ14" s="2">
        <f>BY5+BY6+BY7+BY9+BY10</f>
        <v>38505.07</v>
      </c>
      <c r="CD14" s="2">
        <f>SUM(CD5:CD11)</f>
        <v>37096.357739999999</v>
      </c>
      <c r="CE14" s="2">
        <f>SUM(CE5:CE11)</f>
        <v>37096.589999999997</v>
      </c>
      <c r="CF14" s="2">
        <f>SUM(CF11:CF13)</f>
        <v>37096.36</v>
      </c>
    </row>
    <row r="15" spans="2:85" ht="18.75" x14ac:dyDescent="0.3">
      <c r="B15" t="s">
        <v>9</v>
      </c>
      <c r="C15" s="2">
        <f>43.82+8.27</f>
        <v>52.09</v>
      </c>
      <c r="D15" s="2"/>
      <c r="E15" s="2">
        <f>119.92+429.86</f>
        <v>549.78</v>
      </c>
      <c r="F15" s="2"/>
      <c r="G15" s="2">
        <f>454.45+2.2</f>
        <v>456.65</v>
      </c>
      <c r="H15" s="2">
        <v>12.6</v>
      </c>
      <c r="K15" s="4">
        <f>48318.31-K14+81.11+25+99.11+81.05</f>
        <v>1312.3979999999967</v>
      </c>
      <c r="M15" s="2"/>
      <c r="N15" s="2"/>
      <c r="O15" s="2"/>
      <c r="P15" s="2">
        <f>563.26+220+48.35</f>
        <v>831.61</v>
      </c>
      <c r="Q15" s="2"/>
      <c r="R15" s="2"/>
      <c r="S15" s="2"/>
      <c r="T15" s="2">
        <f>0.1+490.5+321.39</f>
        <v>811.99</v>
      </c>
      <c r="Y15" s="2">
        <f>945.07+15.11+50</f>
        <v>1010.1800000000001</v>
      </c>
      <c r="Z15" s="2"/>
      <c r="AC15" s="2">
        <f>542.81+168.55+164.97+55.32</f>
        <v>931.65</v>
      </c>
      <c r="AH15" s="2">
        <v>379</v>
      </c>
      <c r="AI15" s="2">
        <f>AI14+AH15</f>
        <v>42099.920000000006</v>
      </c>
      <c r="AM15" s="2">
        <v>1935</v>
      </c>
      <c r="AN15" s="2">
        <v>1935</v>
      </c>
      <c r="AO15" s="2"/>
      <c r="AP15" s="2"/>
      <c r="AQ15" s="2"/>
      <c r="AR15" s="2">
        <v>75</v>
      </c>
      <c r="AS15" s="2"/>
      <c r="AT15" s="9" t="s">
        <v>51</v>
      </c>
      <c r="AU15" s="10"/>
      <c r="AV15" s="10"/>
      <c r="AW15" s="10">
        <f t="shared" si="13"/>
        <v>0</v>
      </c>
      <c r="BA15" s="2">
        <f>1+3.4+679.16+11.2+34.75+791.62</f>
        <v>1521.13</v>
      </c>
      <c r="BG15">
        <f>129.48+33+35.15</f>
        <v>197.63</v>
      </c>
      <c r="BL15">
        <f>25+58.96+80.4+1141.41</f>
        <v>1305.77</v>
      </c>
      <c r="BS15" s="2">
        <f>7.55+1.65+94.48+27.89</f>
        <v>131.57</v>
      </c>
      <c r="BY15">
        <f>10</f>
        <v>10</v>
      </c>
      <c r="CE15" s="2">
        <v>13.35</v>
      </c>
    </row>
    <row r="16" spans="2:85" ht="18.75" x14ac:dyDescent="0.3">
      <c r="B16" t="s">
        <v>23</v>
      </c>
      <c r="C16" s="2"/>
      <c r="D16" s="2"/>
      <c r="E16" s="2">
        <v>9500</v>
      </c>
      <c r="F16" s="2"/>
      <c r="G16" s="2"/>
      <c r="H16" s="2"/>
      <c r="K16" s="4"/>
      <c r="M16" s="2"/>
      <c r="N16" s="2"/>
      <c r="O16" s="2"/>
      <c r="P16" s="2">
        <v>3000</v>
      </c>
      <c r="Q16" s="2"/>
      <c r="R16" s="2"/>
      <c r="S16" s="2"/>
      <c r="T16" s="2"/>
      <c r="Y16" s="2"/>
      <c r="AC16" s="2"/>
      <c r="AH16" s="2"/>
      <c r="AM16" s="2"/>
      <c r="AR16" s="2"/>
      <c r="AT16" s="9" t="s">
        <v>52</v>
      </c>
      <c r="AU16" s="10"/>
      <c r="AV16" s="10"/>
      <c r="AW16" s="10">
        <f t="shared" si="13"/>
        <v>0</v>
      </c>
      <c r="AZ16" t="s">
        <v>68</v>
      </c>
      <c r="BA16" s="2">
        <v>3534</v>
      </c>
      <c r="BS16" s="2"/>
      <c r="BT16" s="2"/>
      <c r="CE16" s="2"/>
    </row>
    <row r="17" spans="2:86" ht="18.75" x14ac:dyDescent="0.3">
      <c r="B17" t="s">
        <v>24</v>
      </c>
      <c r="C17" s="2"/>
      <c r="D17" s="2"/>
      <c r="E17" s="2"/>
      <c r="F17" s="2"/>
      <c r="G17" s="2"/>
      <c r="H17" s="2"/>
      <c r="K17" s="4"/>
      <c r="M17" s="2"/>
      <c r="N17" s="2"/>
      <c r="O17" s="2"/>
      <c r="P17" s="2">
        <v>10000</v>
      </c>
      <c r="Q17" s="2"/>
      <c r="R17" s="2"/>
      <c r="S17" s="2"/>
      <c r="T17" s="2"/>
      <c r="Y17" s="2"/>
      <c r="AC17" s="2"/>
      <c r="AH17" s="2"/>
      <c r="AM17" s="2"/>
      <c r="AQ17" t="s">
        <v>64</v>
      </c>
      <c r="AR17" s="2">
        <v>10000</v>
      </c>
      <c r="AT17" s="9" t="s">
        <v>53</v>
      </c>
      <c r="AU17" s="10"/>
      <c r="AV17" s="10"/>
      <c r="AW17" s="10">
        <f t="shared" si="13"/>
        <v>0</v>
      </c>
      <c r="BA17" s="2"/>
      <c r="BS17" s="2"/>
      <c r="BT17" s="2"/>
      <c r="CE17" s="2"/>
    </row>
    <row r="18" spans="2:86" ht="18.75" x14ac:dyDescent="0.3">
      <c r="B18" t="s">
        <v>71</v>
      </c>
      <c r="C18" s="2"/>
      <c r="D18" s="2"/>
      <c r="E18" s="2"/>
      <c r="F18" s="2"/>
      <c r="G18" s="2"/>
      <c r="H18" s="2"/>
      <c r="K18" s="4"/>
      <c r="M18" s="2"/>
      <c r="N18" s="2"/>
      <c r="O18" s="2"/>
      <c r="P18" s="2"/>
      <c r="Q18" s="2"/>
      <c r="R18" s="2"/>
      <c r="S18" s="2"/>
      <c r="T18" s="2"/>
      <c r="Y18" s="2"/>
      <c r="AC18" s="2"/>
      <c r="AH18" s="2"/>
      <c r="AM18" s="2"/>
      <c r="AR18" s="2"/>
      <c r="AT18" s="9" t="s">
        <v>54</v>
      </c>
      <c r="AU18" s="10"/>
      <c r="AV18" s="10"/>
      <c r="AW18" s="10">
        <f>AV18-AU18</f>
        <v>0</v>
      </c>
      <c r="BA18" s="2"/>
      <c r="BL18" s="2">
        <v>2250</v>
      </c>
      <c r="BS18" s="2"/>
      <c r="BT18" s="2"/>
      <c r="BY18" s="2">
        <f>1286.36+500</f>
        <v>1786.36</v>
      </c>
      <c r="CE18" s="2"/>
    </row>
    <row r="19" spans="2:86" ht="18.75" x14ac:dyDescent="0.3">
      <c r="B19" t="s">
        <v>73</v>
      </c>
      <c r="C19" s="2"/>
      <c r="D19" s="2"/>
      <c r="E19" s="2"/>
      <c r="F19" s="2"/>
      <c r="G19" s="2"/>
      <c r="H19" s="2"/>
      <c r="K19" s="4"/>
      <c r="M19" s="2"/>
      <c r="N19" s="2"/>
      <c r="O19" s="2"/>
      <c r="P19" s="2"/>
      <c r="Q19" s="2"/>
      <c r="R19" s="2"/>
      <c r="S19" s="2"/>
      <c r="T19" s="2"/>
      <c r="Y19" s="2"/>
      <c r="AC19" s="2"/>
      <c r="AH19" s="2"/>
      <c r="AM19" s="2"/>
      <c r="AR19" s="2"/>
      <c r="AT19" s="9"/>
      <c r="AU19" s="10"/>
      <c r="AV19" s="10"/>
      <c r="AW19" s="10"/>
      <c r="BA19" s="2"/>
      <c r="BL19" s="2"/>
      <c r="BS19" s="2">
        <v>17600</v>
      </c>
      <c r="BT19" s="2"/>
      <c r="CE19" s="2">
        <v>14400</v>
      </c>
    </row>
    <row r="20" spans="2:86" ht="18.75" x14ac:dyDescent="0.3">
      <c r="B20" t="s">
        <v>68</v>
      </c>
      <c r="C20" s="2"/>
      <c r="D20" s="2"/>
      <c r="E20" s="2"/>
      <c r="F20" s="2"/>
      <c r="G20" s="2"/>
      <c r="H20" s="2"/>
      <c r="K20" s="4"/>
      <c r="M20" s="2"/>
      <c r="N20" s="2"/>
      <c r="O20" s="2"/>
      <c r="P20" s="2"/>
      <c r="Q20" s="2"/>
      <c r="R20" s="2"/>
      <c r="S20" s="2"/>
      <c r="T20" s="2"/>
      <c r="Y20" s="2"/>
      <c r="AC20" s="2"/>
      <c r="AH20" s="2"/>
      <c r="AM20" s="2"/>
      <c r="AR20" s="2"/>
      <c r="AT20" s="9" t="s">
        <v>55</v>
      </c>
      <c r="AU20" s="10">
        <v>1134.98</v>
      </c>
      <c r="AV20" s="10">
        <v>11191.44</v>
      </c>
      <c r="AW20" s="10">
        <f>AV20-AU20</f>
        <v>10056.460000000001</v>
      </c>
      <c r="BA20" s="2"/>
      <c r="BL20" s="2"/>
      <c r="BS20" s="2">
        <v>620</v>
      </c>
      <c r="BT20" s="2"/>
      <c r="CE20" s="2">
        <v>1116</v>
      </c>
    </row>
    <row r="21" spans="2:86" ht="18.75" x14ac:dyDescent="0.3">
      <c r="B21" t="s">
        <v>72</v>
      </c>
      <c r="C21" s="2"/>
      <c r="D21" s="2"/>
      <c r="E21" s="2"/>
      <c r="F21" s="2"/>
      <c r="G21" s="2"/>
      <c r="H21" s="2"/>
      <c r="K21" s="4"/>
      <c r="M21" s="2"/>
      <c r="N21" s="2"/>
      <c r="O21" s="2"/>
      <c r="P21" s="2"/>
      <c r="Q21" s="2"/>
      <c r="R21" s="2"/>
      <c r="S21" s="2"/>
      <c r="T21" s="2"/>
      <c r="Y21" s="2"/>
      <c r="AC21" s="2"/>
      <c r="AH21" s="2"/>
      <c r="AM21" s="2"/>
      <c r="AR21" s="2"/>
      <c r="AT21" s="9" t="s">
        <v>56</v>
      </c>
      <c r="AU21" s="10">
        <v>2269.9499999999998</v>
      </c>
      <c r="AV21" s="10">
        <v>9698.4599999999991</v>
      </c>
      <c r="AW21" s="10">
        <f>AV21-AU21</f>
        <v>7428.5099999999993</v>
      </c>
      <c r="BA21" s="2"/>
      <c r="BL21" s="2"/>
      <c r="BS21" s="2">
        <v>2007.54</v>
      </c>
      <c r="BT21" s="2"/>
      <c r="CE21" s="4"/>
    </row>
    <row r="22" spans="2:86" ht="18.75" x14ac:dyDescent="0.3">
      <c r="B22" t="s">
        <v>25</v>
      </c>
      <c r="C22" s="3"/>
      <c r="D22" s="3"/>
      <c r="E22" s="3"/>
      <c r="F22" s="3"/>
      <c r="G22" s="3"/>
      <c r="H22" s="3"/>
      <c r="K22" s="3"/>
      <c r="M22" s="2"/>
      <c r="N22" s="2"/>
      <c r="O22" s="2"/>
      <c r="P22" s="3">
        <v>6332.27</v>
      </c>
      <c r="Q22" s="2"/>
      <c r="R22" s="2"/>
      <c r="S22" s="2"/>
      <c r="T22" s="3"/>
      <c r="Y22" s="3"/>
      <c r="AC22" s="2"/>
      <c r="AH22" s="2">
        <v>1147.96</v>
      </c>
      <c r="AM22" s="2"/>
      <c r="AQ22" t="s">
        <v>65</v>
      </c>
      <c r="AR22" s="2">
        <v>1000</v>
      </c>
      <c r="AT22" s="9" t="s">
        <v>57</v>
      </c>
      <c r="AU22" s="11">
        <v>1134.98</v>
      </c>
      <c r="AV22" s="11">
        <v>13340.46</v>
      </c>
      <c r="AW22" s="11">
        <f>AV22-AU22</f>
        <v>12205.48</v>
      </c>
      <c r="BA22" s="2"/>
      <c r="BL22" s="5"/>
      <c r="BM22" s="5"/>
      <c r="BS22" s="3"/>
      <c r="BT22" s="2"/>
      <c r="BY22" s="5"/>
      <c r="CE22" s="4"/>
    </row>
    <row r="23" spans="2:86" ht="18.75" x14ac:dyDescent="0.3">
      <c r="B23" t="s">
        <v>78</v>
      </c>
      <c r="C23" s="4"/>
      <c r="D23" s="4"/>
      <c r="E23" s="4"/>
      <c r="F23" s="4"/>
      <c r="G23" s="4"/>
      <c r="H23" s="4"/>
      <c r="K23" s="4"/>
      <c r="M23" s="2"/>
      <c r="N23" s="2"/>
      <c r="O23" s="2"/>
      <c r="P23" s="4"/>
      <c r="Q23" s="2"/>
      <c r="R23" s="2"/>
      <c r="S23" s="2"/>
      <c r="T23" s="4"/>
      <c r="Y23" s="4"/>
      <c r="AC23" s="2"/>
      <c r="AH23" s="2"/>
      <c r="AM23" s="2"/>
      <c r="AR23" s="2"/>
      <c r="AT23" s="9"/>
      <c r="AU23" s="18"/>
      <c r="AV23" s="18"/>
      <c r="AW23" s="18"/>
      <c r="BA23" s="2"/>
      <c r="BL23" s="6"/>
      <c r="BM23" s="6"/>
      <c r="BS23" s="4"/>
      <c r="BT23" s="2"/>
      <c r="BY23" s="6"/>
      <c r="CE23" s="3">
        <v>475</v>
      </c>
    </row>
    <row r="24" spans="2:86" ht="18.75" x14ac:dyDescent="0.3">
      <c r="B24" t="s">
        <v>10</v>
      </c>
      <c r="C24" s="2">
        <f t="shared" ref="C24:H24" si="16">SUM(C14:C22)</f>
        <v>52.09</v>
      </c>
      <c r="D24" s="2">
        <f t="shared" si="16"/>
        <v>59.25</v>
      </c>
      <c r="E24" s="2">
        <f t="shared" si="16"/>
        <v>45459.08</v>
      </c>
      <c r="F24" s="2">
        <f t="shared" si="16"/>
        <v>0</v>
      </c>
      <c r="G24" s="2">
        <f t="shared" si="16"/>
        <v>89998.26999999999</v>
      </c>
      <c r="H24" s="2">
        <f t="shared" si="16"/>
        <v>41656.75</v>
      </c>
      <c r="K24" s="2">
        <f>K14+K15</f>
        <v>48604.579999999994</v>
      </c>
      <c r="M24" s="2"/>
      <c r="N24" s="2"/>
      <c r="O24" s="2"/>
      <c r="P24" s="2">
        <f>SUM(P14:P22)</f>
        <v>92677.862000000023</v>
      </c>
      <c r="Q24" s="2"/>
      <c r="R24" s="2"/>
      <c r="S24" s="2"/>
      <c r="T24" s="2">
        <f>SUM(T14:T22)</f>
        <v>48586.769149</v>
      </c>
      <c r="U24" s="2"/>
      <c r="V24" s="2"/>
      <c r="W24" s="2"/>
      <c r="X24" s="2"/>
      <c r="Y24" s="2">
        <f>SUM(Y14:Y22)</f>
        <v>46419.98791625</v>
      </c>
      <c r="Z24" s="2"/>
      <c r="AA24" s="2"/>
      <c r="AB24" s="2"/>
      <c r="AC24" s="2">
        <f>SUM(AC14:AC22)</f>
        <v>51234.103927500008</v>
      </c>
      <c r="AD24" s="2"/>
      <c r="AE24" s="2"/>
      <c r="AF24" s="2"/>
      <c r="AG24" s="2"/>
      <c r="AH24" s="2">
        <f>SUM(AH14:AH22)</f>
        <v>43248.103984999994</v>
      </c>
      <c r="AI24" s="2">
        <f>AI15+AH22</f>
        <v>43247.880000000005</v>
      </c>
      <c r="AJ24" s="2"/>
      <c r="AK24" s="2"/>
      <c r="AL24" s="2"/>
      <c r="AM24" s="2">
        <f>AM14+AM15</f>
        <v>54696.958709999992</v>
      </c>
      <c r="AN24" s="2">
        <f>AN14+AN15</f>
        <v>54696.514999999992</v>
      </c>
      <c r="AR24" s="2"/>
      <c r="AT24" s="9" t="s">
        <v>63</v>
      </c>
      <c r="AU24" s="10">
        <f>SUM(AU6:AU22)</f>
        <v>31132.62</v>
      </c>
      <c r="AV24" s="10">
        <f>SUM(AV6:AV22)</f>
        <v>271757.78000000003</v>
      </c>
      <c r="AW24" s="10">
        <f>SUM(AW6:AW22)</f>
        <v>240625.15999999997</v>
      </c>
      <c r="BA24" s="2">
        <f>SUM(BA15:BA22)</f>
        <v>5055.13</v>
      </c>
      <c r="BG24" s="2">
        <f>BG14+BG15</f>
        <v>92263.006617499996</v>
      </c>
      <c r="BH24" s="2">
        <f>BG15+BH14</f>
        <v>92263.27</v>
      </c>
      <c r="BL24" s="2">
        <f>BL14+BL15+BL18</f>
        <v>51039.447669999994</v>
      </c>
      <c r="BM24" s="2">
        <f>BM14+BL15+BL18</f>
        <v>51039.44</v>
      </c>
      <c r="BO24" s="2"/>
      <c r="BS24" s="2">
        <f>SUM(BS14:BS22)</f>
        <v>70068.89</v>
      </c>
      <c r="BT24" s="2"/>
      <c r="BY24" s="2">
        <f>BY14+BY15+BY18</f>
        <v>40301.43</v>
      </c>
      <c r="BZ24" s="2">
        <f>BZ14+BY15+BY18</f>
        <v>40301.43</v>
      </c>
      <c r="CE24" s="4">
        <f>SUM(CE14:CE23)</f>
        <v>53100.939999999995</v>
      </c>
    </row>
    <row r="25" spans="2:86" x14ac:dyDescent="0.25">
      <c r="C25" s="2"/>
      <c r="D25" s="2"/>
      <c r="E25" s="2"/>
      <c r="F25" s="2"/>
      <c r="G25" s="2"/>
      <c r="H25" s="2"/>
      <c r="K25" s="2"/>
      <c r="M25" s="2"/>
      <c r="N25" s="2"/>
      <c r="O25" s="2"/>
      <c r="P25" s="2"/>
      <c r="Q25" s="2"/>
      <c r="R25" s="2"/>
      <c r="S25" s="2"/>
      <c r="T25" s="2"/>
      <c r="V25" s="2"/>
      <c r="Y25" s="2"/>
      <c r="AC25" s="2"/>
      <c r="AH25" s="2"/>
      <c r="AM25" s="2"/>
      <c r="AR25" s="2"/>
      <c r="BA25" s="2"/>
      <c r="BS25" s="2"/>
      <c r="BT25" s="2"/>
      <c r="CE25" s="17"/>
    </row>
    <row r="26" spans="2:86" x14ac:dyDescent="0.25">
      <c r="B26" t="s">
        <v>11</v>
      </c>
      <c r="C26" s="2"/>
      <c r="D26" s="2"/>
      <c r="E26" s="2">
        <v>157136.38</v>
      </c>
      <c r="F26" s="2">
        <v>108447.62</v>
      </c>
      <c r="G26" s="2">
        <v>263147.33</v>
      </c>
      <c r="H26" s="2">
        <v>186870.6</v>
      </c>
      <c r="K26" s="2">
        <v>250747.5</v>
      </c>
      <c r="M26" s="2">
        <v>156913.39000000001</v>
      </c>
      <c r="N26" s="2"/>
      <c r="O26" s="2"/>
      <c r="P26" s="2">
        <v>255757.09</v>
      </c>
      <c r="Q26" s="2"/>
      <c r="R26" s="2"/>
      <c r="S26" s="2"/>
      <c r="T26" s="2">
        <v>294843.51</v>
      </c>
      <c r="Y26" s="2">
        <v>292150.44</v>
      </c>
      <c r="AC26" s="2">
        <v>497132.17</v>
      </c>
      <c r="AE26" s="2"/>
      <c r="AH26" s="2">
        <v>270391.99</v>
      </c>
      <c r="AM26" s="2">
        <v>191493.54</v>
      </c>
      <c r="AR26" s="2">
        <v>161494.67000000001</v>
      </c>
      <c r="BA26" s="2">
        <v>142271.56</v>
      </c>
      <c r="BH26" s="2">
        <v>191830.35</v>
      </c>
      <c r="BI26" s="2"/>
      <c r="BM26" s="2">
        <v>196460.41</v>
      </c>
      <c r="BS26" s="2">
        <v>435850.03</v>
      </c>
      <c r="BT26" s="4"/>
      <c r="BY26" s="2">
        <v>560585.55000000005</v>
      </c>
      <c r="BZ26" s="2"/>
      <c r="CE26" s="4">
        <v>268870.93</v>
      </c>
      <c r="CG26" s="2"/>
    </row>
    <row r="27" spans="2:86" x14ac:dyDescent="0.25">
      <c r="B27" t="s">
        <v>12</v>
      </c>
      <c r="C27" s="2">
        <v>1230</v>
      </c>
      <c r="D27" s="2">
        <v>133609.1</v>
      </c>
      <c r="E27" s="2">
        <v>35779.949999999997</v>
      </c>
      <c r="F27" s="2">
        <v>40635.599999999999</v>
      </c>
      <c r="G27" s="2">
        <v>65451.49</v>
      </c>
      <c r="H27" s="2">
        <v>63299.91</v>
      </c>
      <c r="K27" s="2">
        <v>72787.679999999993</v>
      </c>
      <c r="M27" s="2">
        <v>49621.93</v>
      </c>
      <c r="N27" s="2"/>
      <c r="O27" s="2"/>
      <c r="P27" s="2">
        <v>35463.879999999997</v>
      </c>
      <c r="Q27" s="2"/>
      <c r="R27" s="2"/>
      <c r="S27" s="2"/>
      <c r="T27" s="2">
        <v>45755.98</v>
      </c>
      <c r="Y27" s="2">
        <v>51276.47</v>
      </c>
      <c r="AC27" s="2">
        <v>36852.21</v>
      </c>
      <c r="AE27" s="2"/>
      <c r="AH27" s="2">
        <v>27769.75</v>
      </c>
      <c r="AM27" s="2">
        <v>31952.39</v>
      </c>
      <c r="AR27" s="2">
        <v>33122.120000000003</v>
      </c>
      <c r="BA27" s="2"/>
      <c r="BH27" s="2">
        <v>29917.59</v>
      </c>
      <c r="BI27" s="2"/>
      <c r="BM27" s="2">
        <v>42154.99</v>
      </c>
      <c r="BS27" s="2">
        <v>65223.7</v>
      </c>
      <c r="BT27" s="4"/>
      <c r="BY27" s="2">
        <v>34028.29</v>
      </c>
      <c r="BZ27" s="2"/>
      <c r="CE27" s="4">
        <v>33437.9</v>
      </c>
      <c r="CG27" s="2"/>
    </row>
    <row r="28" spans="2:86" x14ac:dyDescent="0.25">
      <c r="B28" t="s">
        <v>13</v>
      </c>
      <c r="C28" s="2"/>
      <c r="D28" s="2"/>
      <c r="E28" s="2"/>
      <c r="F28" s="2">
        <v>31658.55</v>
      </c>
      <c r="G28" s="2">
        <v>3276.39</v>
      </c>
      <c r="H28" s="2">
        <v>10598.28</v>
      </c>
      <c r="K28" s="2">
        <v>10929.02</v>
      </c>
      <c r="M28" s="2">
        <v>40026.89</v>
      </c>
      <c r="N28" s="2"/>
      <c r="O28" s="2"/>
      <c r="P28" s="2">
        <v>22628.37</v>
      </c>
      <c r="Q28" s="2"/>
      <c r="R28" s="2"/>
      <c r="S28" s="2"/>
      <c r="T28" s="2">
        <v>24438.89</v>
      </c>
      <c r="Y28" s="2">
        <v>22638.58</v>
      </c>
      <c r="AC28" s="2">
        <v>74430.19</v>
      </c>
      <c r="AE28" s="2"/>
      <c r="AH28" s="2">
        <v>271757.78000000003</v>
      </c>
      <c r="AM28" s="2">
        <v>35907.160000000003</v>
      </c>
      <c r="AN28" s="2"/>
      <c r="AO28" s="2"/>
      <c r="AP28" s="2"/>
      <c r="AQ28" s="2"/>
      <c r="AR28" s="2">
        <v>43249.65</v>
      </c>
      <c r="AS28" s="2"/>
      <c r="AU28" s="2"/>
      <c r="BA28" s="2"/>
      <c r="BH28" s="2">
        <v>120260.39</v>
      </c>
      <c r="BI28" s="2"/>
      <c r="BM28" s="2">
        <v>57107.68</v>
      </c>
      <c r="BS28" s="2">
        <v>85944.07</v>
      </c>
      <c r="BT28" s="2"/>
      <c r="BY28" s="2">
        <v>66124.039999999994</v>
      </c>
      <c r="BZ28" s="2"/>
      <c r="CE28" s="4">
        <v>149825.19</v>
      </c>
      <c r="CG28" s="2"/>
    </row>
    <row r="29" spans="2:86" x14ac:dyDescent="0.25">
      <c r="B29" t="s">
        <v>14</v>
      </c>
      <c r="C29" s="2"/>
      <c r="D29" s="2"/>
      <c r="E29" s="2"/>
      <c r="F29" s="2">
        <v>106972.26</v>
      </c>
      <c r="G29" s="2">
        <v>60768.92</v>
      </c>
      <c r="H29" s="2">
        <v>62019.03</v>
      </c>
      <c r="K29" s="2">
        <v>53541.11</v>
      </c>
      <c r="M29" s="2">
        <v>46730.06</v>
      </c>
      <c r="N29" s="2"/>
      <c r="O29" s="2"/>
      <c r="P29" s="2">
        <v>45810.18</v>
      </c>
      <c r="Q29" s="2"/>
      <c r="R29" s="2"/>
      <c r="S29" s="2"/>
      <c r="T29" s="2">
        <v>62765.17</v>
      </c>
      <c r="Y29" s="2"/>
      <c r="AC29" s="2"/>
      <c r="AE29" s="2"/>
      <c r="AH29" s="2">
        <v>146762.04</v>
      </c>
      <c r="AM29" s="2">
        <v>43590.31</v>
      </c>
      <c r="AN29" s="2"/>
      <c r="AO29" s="2"/>
      <c r="AP29" s="2"/>
      <c r="AQ29" s="2"/>
      <c r="AR29" s="2">
        <v>39611.78</v>
      </c>
      <c r="AS29" s="2"/>
      <c r="AU29" s="2"/>
      <c r="BA29" s="2">
        <v>42703.78</v>
      </c>
      <c r="BB29" s="2"/>
      <c r="BH29" s="2">
        <v>28807.439999999999</v>
      </c>
      <c r="BI29" s="2"/>
      <c r="BM29" s="2">
        <v>40789.19</v>
      </c>
      <c r="BS29" s="2">
        <v>32012.81</v>
      </c>
      <c r="BT29" s="2"/>
      <c r="BY29" s="2">
        <v>36838.51</v>
      </c>
      <c r="BZ29" s="2"/>
      <c r="CE29" s="4">
        <f>49439.51+1080</f>
        <v>50519.51</v>
      </c>
      <c r="CG29" s="2"/>
    </row>
    <row r="30" spans="2:86" x14ac:dyDescent="0.25">
      <c r="B30" t="s">
        <v>15</v>
      </c>
      <c r="C30" s="2"/>
      <c r="D30" s="2"/>
      <c r="E30" s="2"/>
      <c r="F30" s="2">
        <v>6730.21</v>
      </c>
      <c r="G30" s="2"/>
      <c r="H30" s="2">
        <v>13938.56</v>
      </c>
      <c r="K30" s="2">
        <v>13943.82</v>
      </c>
      <c r="M30" s="2">
        <v>7028.95</v>
      </c>
      <c r="N30" s="2"/>
      <c r="O30" s="2"/>
      <c r="P30" s="2">
        <v>9357.33</v>
      </c>
      <c r="Q30" s="2"/>
      <c r="R30" s="2"/>
      <c r="S30" s="2"/>
      <c r="T30" s="2">
        <v>14206.44</v>
      </c>
      <c r="Y30" s="2">
        <v>9598.25</v>
      </c>
      <c r="AC30" s="2">
        <v>9089.9599999999991</v>
      </c>
      <c r="AE30" s="2"/>
      <c r="AH30" s="2">
        <v>12173.35</v>
      </c>
      <c r="AM30" s="2">
        <v>9349.42</v>
      </c>
      <c r="AN30" s="2"/>
      <c r="AO30" s="2"/>
      <c r="AP30" s="2"/>
      <c r="AQ30" s="2"/>
      <c r="AR30" s="2">
        <v>12015.66</v>
      </c>
      <c r="AS30" s="2"/>
      <c r="AU30" s="2"/>
      <c r="BA30" s="2">
        <v>12469.47</v>
      </c>
      <c r="BB30" s="2"/>
      <c r="BH30" s="2"/>
      <c r="BI30" s="2"/>
      <c r="BM30" s="2">
        <v>16542.16</v>
      </c>
      <c r="BS30" s="2">
        <v>13915.33</v>
      </c>
      <c r="BT30" s="2"/>
      <c r="BY30" s="2">
        <v>6592.16</v>
      </c>
      <c r="BZ30" s="2"/>
      <c r="CE30" s="4">
        <v>11593.35</v>
      </c>
      <c r="CG30" s="2"/>
    </row>
    <row r="31" spans="2:86" x14ac:dyDescent="0.25">
      <c r="B31" t="s">
        <v>16</v>
      </c>
      <c r="C31" s="2"/>
      <c r="D31" s="2"/>
      <c r="E31" s="2"/>
      <c r="F31" s="2">
        <v>8929.27</v>
      </c>
      <c r="G31" s="2">
        <v>3553.9</v>
      </c>
      <c r="H31" s="2">
        <v>5353.56</v>
      </c>
      <c r="K31" s="2">
        <v>6524.46</v>
      </c>
      <c r="M31" s="2">
        <v>5018.21</v>
      </c>
      <c r="N31" s="2"/>
      <c r="O31" s="2"/>
      <c r="P31" s="2">
        <v>5377.49</v>
      </c>
      <c r="Q31" s="2"/>
      <c r="R31" s="2"/>
      <c r="S31" s="2"/>
      <c r="T31" s="2">
        <v>2917.23</v>
      </c>
      <c r="Y31" s="2">
        <v>3588.08</v>
      </c>
      <c r="AC31" s="2">
        <v>6301.14</v>
      </c>
      <c r="AE31" s="2"/>
      <c r="AH31" s="2">
        <v>7275.62</v>
      </c>
      <c r="AM31" s="2">
        <v>6275.62</v>
      </c>
      <c r="AN31" s="2"/>
      <c r="AO31" s="2"/>
      <c r="AP31" s="2"/>
      <c r="AQ31" s="2"/>
      <c r="AR31" s="2">
        <v>10048.98</v>
      </c>
      <c r="AS31" s="2"/>
      <c r="AU31" s="2"/>
      <c r="BA31" s="2">
        <v>8530.7000000000007</v>
      </c>
      <c r="BB31" s="2"/>
      <c r="BH31" s="2">
        <v>8224.2900000000009</v>
      </c>
      <c r="BI31" s="2"/>
      <c r="BM31" s="2">
        <v>9600.06</v>
      </c>
      <c r="BS31" s="2">
        <v>9254.7900000000009</v>
      </c>
      <c r="BT31" s="2"/>
      <c r="BY31" s="2">
        <v>4169.9399999999996</v>
      </c>
      <c r="BZ31" s="2"/>
      <c r="CE31" s="2">
        <v>13690.23</v>
      </c>
      <c r="CG31" s="2"/>
    </row>
    <row r="32" spans="2:86" x14ac:dyDescent="0.25">
      <c r="B32" t="s">
        <v>17</v>
      </c>
      <c r="C32" s="2"/>
      <c r="D32" s="2"/>
      <c r="E32" s="2">
        <v>15320.4</v>
      </c>
      <c r="F32" s="2">
        <v>3659.51</v>
      </c>
      <c r="G32" s="2">
        <v>4977.8999999999996</v>
      </c>
      <c r="H32" s="2">
        <v>9001.8799999999992</v>
      </c>
      <c r="K32" s="2">
        <v>9023.42</v>
      </c>
      <c r="M32" s="2">
        <v>6222.54</v>
      </c>
      <c r="N32" s="2"/>
      <c r="O32" s="2"/>
      <c r="P32" s="2">
        <v>2791.78</v>
      </c>
      <c r="Q32" s="2"/>
      <c r="R32" s="2"/>
      <c r="S32" s="2"/>
      <c r="T32" s="2">
        <v>5919.35</v>
      </c>
      <c r="Y32" s="2">
        <v>7696.15</v>
      </c>
      <c r="AC32" s="2">
        <v>12727.41</v>
      </c>
      <c r="AE32" s="2"/>
      <c r="AH32" s="2">
        <v>15954.81</v>
      </c>
      <c r="AM32" s="2">
        <v>10393.67</v>
      </c>
      <c r="AN32" s="2"/>
      <c r="AO32" s="2"/>
      <c r="AP32" s="2"/>
      <c r="AQ32" s="2"/>
      <c r="AR32" s="2">
        <v>7623.93</v>
      </c>
      <c r="AS32" s="2"/>
      <c r="AU32" s="2"/>
      <c r="BA32" s="2">
        <v>4273.78</v>
      </c>
      <c r="BB32" s="2"/>
      <c r="BH32" s="2"/>
      <c r="BI32" s="2"/>
      <c r="BM32" s="2">
        <v>11792.32</v>
      </c>
      <c r="BS32" s="2"/>
      <c r="BT32" s="2"/>
      <c r="BY32" s="2">
        <v>15204.88</v>
      </c>
      <c r="BZ32" s="2"/>
      <c r="CE32" s="2">
        <v>4675.46</v>
      </c>
      <c r="CG32" s="2"/>
      <c r="CH32" s="2"/>
    </row>
    <row r="33" spans="2:87" x14ac:dyDescent="0.25">
      <c r="B33" t="s">
        <v>18</v>
      </c>
      <c r="C33" s="2"/>
      <c r="D33" s="2"/>
      <c r="E33" s="2"/>
      <c r="F33" s="2"/>
      <c r="G33" s="2"/>
      <c r="H33" s="2"/>
      <c r="K33" s="2">
        <v>17672.89</v>
      </c>
      <c r="M33" s="2">
        <v>30272.45</v>
      </c>
      <c r="N33" s="2"/>
      <c r="O33" s="2"/>
      <c r="P33" s="2">
        <v>9806.49</v>
      </c>
      <c r="Q33" s="2"/>
      <c r="R33" s="2"/>
      <c r="S33" s="2"/>
      <c r="T33" s="2">
        <v>7255.59</v>
      </c>
      <c r="Y33" s="2">
        <v>16579.169999999998</v>
      </c>
      <c r="AC33" s="2">
        <v>9810.7099999999991</v>
      </c>
      <c r="AE33" s="2"/>
      <c r="AH33" s="2">
        <v>16862.95</v>
      </c>
      <c r="AM33" s="2">
        <v>29715.360000000001</v>
      </c>
      <c r="AN33" s="2"/>
      <c r="AO33" s="2"/>
      <c r="AP33" s="2"/>
      <c r="AQ33" s="2"/>
      <c r="AR33" s="2">
        <v>17272.52</v>
      </c>
      <c r="AS33" s="2"/>
      <c r="BA33" s="2">
        <v>20029.09</v>
      </c>
      <c r="BB33" s="2"/>
      <c r="BH33" s="2">
        <v>17416.62</v>
      </c>
      <c r="BI33" s="2"/>
      <c r="BM33" s="2">
        <v>29889.95</v>
      </c>
      <c r="BS33" s="2">
        <v>23195.62</v>
      </c>
      <c r="BT33" s="2"/>
      <c r="BY33" s="2">
        <v>15066.3</v>
      </c>
      <c r="BZ33" s="4"/>
      <c r="CE33" s="2">
        <v>38035.269999999997</v>
      </c>
      <c r="CG33" s="2"/>
    </row>
    <row r="34" spans="2:87" x14ac:dyDescent="0.25">
      <c r="B34" t="s">
        <v>40</v>
      </c>
      <c r="C34" s="2"/>
      <c r="D34" s="2"/>
      <c r="E34" s="2"/>
      <c r="F34" s="2"/>
      <c r="G34" s="2"/>
      <c r="H34" s="2"/>
      <c r="K34" s="2"/>
      <c r="M34" s="2"/>
      <c r="N34" s="2"/>
      <c r="O34" s="2"/>
      <c r="P34" s="2"/>
      <c r="Q34" s="2"/>
      <c r="R34" s="2"/>
      <c r="S34" s="2"/>
      <c r="T34" s="2"/>
      <c r="Y34" s="2"/>
      <c r="AC34" s="2"/>
      <c r="AE34" s="2"/>
      <c r="AH34" s="2">
        <v>53453.15</v>
      </c>
      <c r="AM34" s="2"/>
      <c r="AN34" s="2"/>
      <c r="AO34" s="2"/>
      <c r="AP34" s="2"/>
      <c r="AQ34" s="2"/>
      <c r="AR34" s="2"/>
      <c r="AS34" s="2"/>
      <c r="BA34" s="2">
        <v>5107.3900000000003</v>
      </c>
      <c r="BB34" s="2"/>
      <c r="BH34" s="2">
        <v>9774.76</v>
      </c>
      <c r="BI34" s="2"/>
      <c r="BJ34" s="2"/>
      <c r="BM34" s="2">
        <v>19414.71</v>
      </c>
      <c r="BS34" s="2">
        <v>40427.300000000003</v>
      </c>
      <c r="BT34" s="2"/>
      <c r="BY34" s="2">
        <v>23975.22</v>
      </c>
      <c r="BZ34" s="2"/>
      <c r="CE34" s="2">
        <v>41981.99</v>
      </c>
      <c r="CG34" s="2"/>
      <c r="CH34" s="2"/>
    </row>
    <row r="35" spans="2:87" x14ac:dyDescent="0.25">
      <c r="B35" t="s">
        <v>19</v>
      </c>
      <c r="C35" s="2"/>
      <c r="D35" s="2"/>
      <c r="E35" s="2">
        <v>105902.25</v>
      </c>
      <c r="F35" s="2"/>
      <c r="G35">
        <v>282028.36</v>
      </c>
      <c r="H35" s="2">
        <v>222395.39</v>
      </c>
      <c r="K35" s="2">
        <v>158126.71</v>
      </c>
      <c r="M35" s="2">
        <v>165665.57</v>
      </c>
      <c r="N35" s="2"/>
      <c r="O35" s="2"/>
      <c r="P35" s="2">
        <v>252413.81</v>
      </c>
      <c r="Q35" s="2"/>
      <c r="R35" s="2"/>
      <c r="S35" s="2"/>
      <c r="T35" s="2">
        <v>104438.73</v>
      </c>
      <c r="Y35" s="2">
        <v>142127.85</v>
      </c>
      <c r="AC35" s="2">
        <v>187249.47</v>
      </c>
      <c r="AE35" s="2"/>
      <c r="AH35" s="2">
        <v>141771.37</v>
      </c>
      <c r="AM35" s="2">
        <v>111985.01</v>
      </c>
      <c r="AN35" s="2"/>
      <c r="AO35" s="2"/>
      <c r="AP35" s="2"/>
      <c r="AQ35" s="2"/>
      <c r="AR35" s="2">
        <v>107148.77</v>
      </c>
      <c r="AS35" s="2"/>
      <c r="BA35" s="2">
        <v>155555.01</v>
      </c>
      <c r="BB35" s="2"/>
      <c r="BH35" s="2">
        <v>120270.23</v>
      </c>
      <c r="BI35" s="2"/>
      <c r="BM35" s="2">
        <v>134077.39000000001</v>
      </c>
      <c r="BS35" s="2">
        <v>82902.100000000006</v>
      </c>
      <c r="BT35" s="2"/>
      <c r="BY35" s="2">
        <v>107492.88</v>
      </c>
      <c r="BZ35" s="2"/>
      <c r="CE35" s="2">
        <v>156447.21</v>
      </c>
      <c r="CG35" s="2"/>
    </row>
    <row r="36" spans="2:87" x14ac:dyDescent="0.25">
      <c r="B36" t="s">
        <v>20</v>
      </c>
      <c r="C36" s="2"/>
      <c r="D36" s="2">
        <v>32465</v>
      </c>
      <c r="E36" s="2">
        <v>20331.400000000001</v>
      </c>
      <c r="F36" s="2">
        <v>84641.51</v>
      </c>
      <c r="G36" s="2">
        <v>68808.88</v>
      </c>
      <c r="H36" s="2">
        <v>51158.080000000002</v>
      </c>
      <c r="K36" s="2">
        <v>42917.38</v>
      </c>
      <c r="M36" s="2">
        <v>31840.38</v>
      </c>
      <c r="N36" s="2"/>
      <c r="O36" s="2"/>
      <c r="P36" s="2">
        <v>51221.21</v>
      </c>
      <c r="Q36" s="2"/>
      <c r="R36" s="2"/>
      <c r="S36" s="2"/>
      <c r="T36" s="2">
        <v>60495.1</v>
      </c>
      <c r="Y36" s="2">
        <v>67606.78</v>
      </c>
      <c r="AC36" s="2">
        <v>78685.67</v>
      </c>
      <c r="AE36" s="2"/>
      <c r="AH36" s="2">
        <v>85243.15</v>
      </c>
      <c r="AM36" s="2">
        <v>86824.02</v>
      </c>
      <c r="AN36" s="2"/>
      <c r="AO36" s="2"/>
      <c r="AP36" s="2"/>
      <c r="AQ36" s="2"/>
      <c r="AR36" s="2">
        <v>85975.98</v>
      </c>
      <c r="AS36" s="2"/>
      <c r="BA36" s="2">
        <v>100366.27</v>
      </c>
      <c r="BB36" s="2"/>
      <c r="BH36" s="2">
        <v>94943.93</v>
      </c>
      <c r="BM36" s="2">
        <v>97548.31</v>
      </c>
      <c r="BS36" s="2">
        <v>100236.52</v>
      </c>
      <c r="BV36" s="2"/>
      <c r="BY36" s="2">
        <v>97594.72</v>
      </c>
      <c r="BZ36" s="2"/>
      <c r="CE36" s="2">
        <v>93577.47</v>
      </c>
      <c r="CG36" s="2"/>
    </row>
    <row r="37" spans="2:87" x14ac:dyDescent="0.25">
      <c r="B37" t="s">
        <v>74</v>
      </c>
      <c r="C37" s="2"/>
      <c r="D37" s="2"/>
      <c r="E37" s="2">
        <v>2042.94</v>
      </c>
      <c r="F37" s="2">
        <v>25642.52</v>
      </c>
      <c r="G37" s="2">
        <v>35103.519999999997</v>
      </c>
      <c r="H37" s="2">
        <v>36334.99</v>
      </c>
      <c r="K37" s="2">
        <v>41327.54</v>
      </c>
      <c r="M37" s="2">
        <v>30679.97</v>
      </c>
      <c r="N37" s="2"/>
      <c r="O37" s="2"/>
      <c r="P37" s="2">
        <v>27801.16</v>
      </c>
      <c r="Q37" s="2"/>
      <c r="R37" s="2"/>
      <c r="S37" s="2"/>
      <c r="T37" s="2">
        <v>35230.089999999997</v>
      </c>
      <c r="Y37" s="2">
        <v>35625.339999999997</v>
      </c>
      <c r="AC37" s="2">
        <v>35617.71</v>
      </c>
      <c r="AE37" s="2"/>
      <c r="AH37" s="2">
        <v>37799.94</v>
      </c>
      <c r="AM37" s="2">
        <v>35590.01</v>
      </c>
      <c r="AN37" s="2"/>
      <c r="AO37" s="2"/>
      <c r="AP37" s="2"/>
      <c r="AQ37" s="2"/>
      <c r="AR37" s="2">
        <v>34723.269999999997</v>
      </c>
      <c r="AS37" s="2"/>
      <c r="BA37" s="2">
        <v>32085.59</v>
      </c>
      <c r="BB37" s="2"/>
      <c r="BH37" s="2">
        <v>34351.440000000002</v>
      </c>
      <c r="BM37" s="2">
        <v>36540.18</v>
      </c>
      <c r="BS37" s="2">
        <v>34989.769999999997</v>
      </c>
      <c r="BY37" s="2">
        <v>25253.16</v>
      </c>
      <c r="CE37" s="2">
        <v>47002</v>
      </c>
      <c r="CG37" s="2"/>
    </row>
    <row r="38" spans="2:87" x14ac:dyDescent="0.25">
      <c r="B38" t="s">
        <v>21</v>
      </c>
      <c r="C38" s="3">
        <v>2142</v>
      </c>
      <c r="D38" s="3">
        <v>1620</v>
      </c>
      <c r="E38" s="3">
        <v>1089</v>
      </c>
      <c r="F38" s="3">
        <v>306</v>
      </c>
      <c r="G38" s="3">
        <v>2034</v>
      </c>
      <c r="H38" s="3">
        <v>1593</v>
      </c>
      <c r="I38" s="6"/>
      <c r="J38" s="6"/>
      <c r="K38" s="3">
        <v>2214</v>
      </c>
      <c r="M38" s="3">
        <v>2259</v>
      </c>
      <c r="N38" s="2"/>
      <c r="O38" s="2"/>
      <c r="P38" s="3">
        <v>4005</v>
      </c>
      <c r="Q38" s="2"/>
      <c r="R38" s="2"/>
      <c r="S38" s="2"/>
      <c r="T38" s="3">
        <v>3420</v>
      </c>
      <c r="Y38" s="3">
        <v>2826</v>
      </c>
      <c r="AC38" s="2">
        <v>3933</v>
      </c>
      <c r="AE38" s="2"/>
      <c r="AH38" s="3">
        <v>1377</v>
      </c>
      <c r="AM38" s="3">
        <v>2391</v>
      </c>
      <c r="AN38" s="2"/>
      <c r="AO38" s="2"/>
      <c r="AP38" s="2"/>
      <c r="AQ38" s="2"/>
      <c r="AR38" s="3">
        <v>2178</v>
      </c>
      <c r="BA38" s="3">
        <v>3600</v>
      </c>
      <c r="BB38" s="2"/>
      <c r="BH38" s="3">
        <v>1728</v>
      </c>
      <c r="BM38" s="3">
        <v>2862</v>
      </c>
      <c r="BS38" s="3">
        <v>1836</v>
      </c>
      <c r="BV38" s="2"/>
      <c r="BY38" s="3">
        <v>1719</v>
      </c>
      <c r="CE38" s="3">
        <v>1269</v>
      </c>
      <c r="CG38" s="2"/>
    </row>
    <row r="39" spans="2:87" x14ac:dyDescent="0.25">
      <c r="B39" t="s">
        <v>27</v>
      </c>
      <c r="C39" s="2">
        <f t="shared" ref="C39:H39" si="17">SUM(C26:C38)</f>
        <v>3372</v>
      </c>
      <c r="D39" s="2">
        <f t="shared" si="17"/>
        <v>167694.1</v>
      </c>
      <c r="E39" s="2">
        <f t="shared" si="17"/>
        <v>337602.32</v>
      </c>
      <c r="F39" s="2">
        <f t="shared" si="17"/>
        <v>417623.05000000005</v>
      </c>
      <c r="G39" s="2">
        <f t="shared" si="17"/>
        <v>789150.69000000006</v>
      </c>
      <c r="H39" s="2">
        <f t="shared" si="17"/>
        <v>662563.27999999991</v>
      </c>
      <c r="I39" s="2"/>
      <c r="J39" s="2"/>
      <c r="K39" s="2">
        <f t="shared" ref="K39" si="18">SUM(K26:K38)</f>
        <v>679755.53</v>
      </c>
      <c r="L39" s="2"/>
      <c r="M39" s="2">
        <f t="shared" ref="M39" si="19">SUM(M26:M38)</f>
        <v>572279.34</v>
      </c>
      <c r="N39" s="2"/>
      <c r="O39" s="2"/>
      <c r="P39" s="2">
        <f t="shared" ref="P39" si="20">SUM(P26:P38)</f>
        <v>722433.78999999992</v>
      </c>
      <c r="Q39" s="2"/>
      <c r="R39" s="2"/>
      <c r="S39" s="2"/>
      <c r="T39" s="2">
        <f t="shared" ref="T39" si="21">SUM(T26:T38)</f>
        <v>661686.07999999996</v>
      </c>
      <c r="Y39" s="2">
        <f>SUM(Y26:Y38)</f>
        <v>651713.1100000001</v>
      </c>
      <c r="Z39" s="2"/>
      <c r="AA39" s="2"/>
      <c r="AB39" s="2"/>
      <c r="AC39" s="2">
        <f t="shared" ref="AC39:AM39" si="22">SUM(AC26:AC38)</f>
        <v>951829.64</v>
      </c>
      <c r="AD39" s="2"/>
      <c r="AE39" s="2"/>
      <c r="AF39" s="2"/>
      <c r="AG39" s="2"/>
      <c r="AH39" s="2">
        <f t="shared" si="22"/>
        <v>1088592.8999999999</v>
      </c>
      <c r="AI39" s="2"/>
      <c r="AJ39" s="2"/>
      <c r="AK39" s="2"/>
      <c r="AL39" s="2"/>
      <c r="AM39" s="2">
        <f t="shared" si="22"/>
        <v>595467.51</v>
      </c>
      <c r="AN39" s="2">
        <f>SUM(AM26:AM38)+AM15+AN5+AN6+AN7+AN9+AN10+AN11</f>
        <v>650164.02500000002</v>
      </c>
      <c r="AO39" s="2"/>
      <c r="AP39" s="2"/>
      <c r="AQ39" s="2"/>
      <c r="AR39" s="2">
        <f>SUM(AR26:AR38)</f>
        <v>554465.32999999996</v>
      </c>
      <c r="BA39" s="2">
        <f>SUM(BA26:BA38)</f>
        <v>526992.64000000013</v>
      </c>
      <c r="BB39" s="2"/>
      <c r="BH39" s="2">
        <f>SUM(BH26:BH38)</f>
        <v>657525.04</v>
      </c>
      <c r="BM39" s="2">
        <f>SUM(BM26:BM38)</f>
        <v>694779.35000000021</v>
      </c>
      <c r="BS39" s="2">
        <f>SUM(BS26:BS38)</f>
        <v>925788.04000000015</v>
      </c>
      <c r="BT39" s="2">
        <f>BS24+BS26+BS33+BS29+BS30+BS31+BS28+BS27+BS34+BS36+BS37+BS38+BS35</f>
        <v>995856.93</v>
      </c>
      <c r="BY39" s="2">
        <f>SUM(BY26:BY38)</f>
        <v>994644.65000000014</v>
      </c>
      <c r="CE39" s="19">
        <f>SUM(CE26:CE38)</f>
        <v>910925.50999999989</v>
      </c>
      <c r="CG39" s="2"/>
      <c r="CI39" s="2"/>
    </row>
    <row r="40" spans="2:87" x14ac:dyDescent="0.25">
      <c r="B40" t="s">
        <v>28</v>
      </c>
      <c r="C40" s="2">
        <f t="shared" ref="C40:H40" si="23">C24+C39</f>
        <v>3424.09</v>
      </c>
      <c r="D40" s="2">
        <f t="shared" si="23"/>
        <v>167753.35</v>
      </c>
      <c r="E40" s="2">
        <f t="shared" si="23"/>
        <v>383061.4</v>
      </c>
      <c r="F40" s="2">
        <f t="shared" si="23"/>
        <v>417623.05000000005</v>
      </c>
      <c r="G40" s="2">
        <f t="shared" si="23"/>
        <v>879148.96000000008</v>
      </c>
      <c r="H40" s="2">
        <f t="shared" si="23"/>
        <v>704220.02999999991</v>
      </c>
      <c r="I40" s="2"/>
      <c r="J40" s="2"/>
      <c r="K40" s="2">
        <f t="shared" ref="K40" si="24">K24+K39</f>
        <v>728360.11</v>
      </c>
      <c r="L40" s="2"/>
      <c r="M40" s="2">
        <f t="shared" ref="M40" si="25">M24+M39</f>
        <v>572279.34</v>
      </c>
      <c r="P40" s="2">
        <f>P39+P24</f>
        <v>815111.652</v>
      </c>
      <c r="Q40" s="2"/>
      <c r="R40" s="2"/>
      <c r="S40" s="2"/>
      <c r="T40" s="2">
        <f t="shared" ref="T40" si="26">T39+T24</f>
        <v>710272.8491489999</v>
      </c>
      <c r="U40" s="2"/>
      <c r="V40" s="2"/>
      <c r="W40" s="2"/>
      <c r="X40" s="2"/>
      <c r="Y40" s="2">
        <f t="shared" ref="Y40:AH40" si="27">Y39+Y24</f>
        <v>698133.09791625012</v>
      </c>
      <c r="Z40" s="2"/>
      <c r="AA40" s="2"/>
      <c r="AB40" s="2"/>
      <c r="AC40" s="2">
        <f t="shared" si="27"/>
        <v>1003063.7439275</v>
      </c>
      <c r="AD40" s="2"/>
      <c r="AE40" s="2"/>
      <c r="AF40" s="2"/>
      <c r="AG40" s="2"/>
      <c r="AH40" s="2">
        <f t="shared" si="27"/>
        <v>1131841.0039849998</v>
      </c>
      <c r="AI40" s="2">
        <f>AI24+AH26+AH33+AH30+AH31+AH29+AH32+AH35+AH28+AH34+AH27+AH38+AH36+AH37</f>
        <v>1131840.78</v>
      </c>
      <c r="AL40" s="12" t="s">
        <v>66</v>
      </c>
      <c r="AM40" s="14">
        <f>AM24+AM39</f>
        <v>650164.46871000004</v>
      </c>
      <c r="AR40" s="2">
        <f>AS5+AS6+AS7+AS9+AS10+AS11+AR15+AR17+AR22+AR26+AR33+AR30+AR31+AR29+AR32+AR28-AW24+AR27+AR35+AR38+AR36+AR37</f>
        <v>367351.50500000006</v>
      </c>
      <c r="AS40" s="4"/>
      <c r="BA40" s="2">
        <f>BA24+BA39</f>
        <v>532047.77000000014</v>
      </c>
      <c r="BB40" s="2"/>
      <c r="BH40" s="2">
        <f>BH39+BH24</f>
        <v>749788.31</v>
      </c>
      <c r="BM40" s="2">
        <f>SUM(BM24:BM38)</f>
        <v>745818.79000000015</v>
      </c>
      <c r="BS40" s="2">
        <f>BS24+BS39</f>
        <v>995856.93000000017</v>
      </c>
      <c r="BV40" s="2"/>
      <c r="BY40" s="2">
        <f>BY39+BY24</f>
        <v>1034946.0800000002</v>
      </c>
      <c r="CE40" s="2">
        <f>CE24+CE39</f>
        <v>964026.44999999984</v>
      </c>
    </row>
    <row r="41" spans="2:87" x14ac:dyDescent="0.25">
      <c r="B41" t="s">
        <v>33</v>
      </c>
      <c r="C41" s="3">
        <v>1040599.09</v>
      </c>
      <c r="D41" s="3">
        <v>1105253.3500000001</v>
      </c>
      <c r="E41" s="3">
        <v>383060.91</v>
      </c>
      <c r="F41" s="3">
        <v>417623.09</v>
      </c>
      <c r="G41" s="3">
        <v>879151.3</v>
      </c>
      <c r="H41" s="3">
        <v>2204220.65</v>
      </c>
      <c r="K41" s="3">
        <v>728360.12</v>
      </c>
      <c r="M41" s="3">
        <v>572279.34</v>
      </c>
      <c r="P41" s="3">
        <v>815111.66</v>
      </c>
      <c r="Q41" s="4"/>
      <c r="R41" s="4"/>
      <c r="S41" s="4"/>
      <c r="T41" s="3">
        <v>710272.53</v>
      </c>
      <c r="Y41" s="2">
        <f>723729.99-25596.98</f>
        <v>698133.01</v>
      </c>
      <c r="AC41" s="2">
        <v>1003063.29</v>
      </c>
      <c r="AH41" s="2"/>
      <c r="AI41" s="2">
        <v>1131840.78</v>
      </c>
      <c r="AN41" s="2">
        <v>650164.03</v>
      </c>
      <c r="AO41" t="s">
        <v>66</v>
      </c>
      <c r="AR41" s="3">
        <f>1118618.18-107841.23</f>
        <v>1010776.95</v>
      </c>
      <c r="AS41" s="2"/>
      <c r="BA41" s="2">
        <v>532047.77</v>
      </c>
      <c r="BB41" s="4"/>
      <c r="BH41" s="2">
        <v>749788.31</v>
      </c>
      <c r="BM41" s="2">
        <v>745818.79</v>
      </c>
      <c r="BS41" s="2"/>
      <c r="BY41" s="2">
        <v>1034946.08</v>
      </c>
      <c r="BZ41" s="2"/>
      <c r="CE41" s="2">
        <v>964026.45</v>
      </c>
    </row>
    <row r="42" spans="2:87" x14ac:dyDescent="0.25">
      <c r="B42" t="s">
        <v>34</v>
      </c>
      <c r="C42" s="2">
        <f t="shared" ref="C42:H42" si="28">C41-C40</f>
        <v>1037175</v>
      </c>
      <c r="D42" s="7">
        <f t="shared" si="28"/>
        <v>937500.00000000012</v>
      </c>
      <c r="E42" s="7">
        <f t="shared" si="28"/>
        <v>-0.49000000004889444</v>
      </c>
      <c r="F42" s="7">
        <f t="shared" si="28"/>
        <v>3.9999999979045242E-2</v>
      </c>
      <c r="G42" s="7">
        <f t="shared" si="28"/>
        <v>2.3399999999674037</v>
      </c>
      <c r="H42" s="7">
        <f t="shared" si="28"/>
        <v>1500000.62</v>
      </c>
      <c r="I42" s="7"/>
      <c r="J42" s="7"/>
      <c r="K42" s="7">
        <f t="shared" ref="K42" si="29">K41-K40</f>
        <v>1.0000000009313226E-2</v>
      </c>
      <c r="L42" s="7"/>
      <c r="M42" s="7">
        <f t="shared" ref="M42" si="30">M41-M40</f>
        <v>0</v>
      </c>
      <c r="N42" s="7"/>
      <c r="O42" s="7"/>
      <c r="P42" s="7">
        <f t="shared" ref="P42" si="31">P41-P40</f>
        <v>8.000000030733645E-3</v>
      </c>
      <c r="Q42" s="7"/>
      <c r="R42" s="7"/>
      <c r="S42" s="7"/>
      <c r="T42" s="7">
        <f t="shared" ref="T42" si="32">T41-T40</f>
        <v>-0.3191489998716861</v>
      </c>
      <c r="U42" s="7"/>
      <c r="V42" s="7"/>
      <c r="W42" s="7"/>
      <c r="X42" s="7"/>
      <c r="Y42" s="7">
        <f t="shared" ref="Y42:AC42" si="33">Y41-Y40</f>
        <v>-8.7916250107809901E-2</v>
      </c>
      <c r="Z42" s="7"/>
      <c r="AA42" s="7"/>
      <c r="AB42" s="7"/>
      <c r="AC42" s="7">
        <f t="shared" si="33"/>
        <v>-0.45392749994061887</v>
      </c>
      <c r="AH42" s="2"/>
      <c r="AM42" s="2"/>
      <c r="AN42" s="2">
        <f>AN41-AM40</f>
        <v>-0.43871000001672655</v>
      </c>
      <c r="AR42" s="2">
        <f>AR40-AR41</f>
        <v>-643425.44499999983</v>
      </c>
      <c r="AS42" s="2"/>
      <c r="BA42" s="2">
        <f>BA40-BA41</f>
        <v>0</v>
      </c>
      <c r="BB42" s="2"/>
      <c r="BS42" s="2"/>
      <c r="BY42" s="2"/>
    </row>
    <row r="43" spans="2:87" ht="75.75" customHeight="1" x14ac:dyDescent="0.25">
      <c r="B43" t="s">
        <v>58</v>
      </c>
      <c r="C43" s="2"/>
      <c r="D43" s="7"/>
      <c r="E43" s="7"/>
      <c r="F43" s="7"/>
      <c r="G43" s="7"/>
      <c r="H43" s="8" t="s">
        <v>35</v>
      </c>
      <c r="K43" s="8" t="s">
        <v>36</v>
      </c>
      <c r="P43" s="8" t="s">
        <v>37</v>
      </c>
      <c r="Y43" s="2"/>
      <c r="AC43" s="2">
        <f>35188.84+15113.61+AC39+94373.13-AC49+164.97-707.78+876.33</f>
        <v>1003063.7399999999</v>
      </c>
      <c r="AD43" t="s">
        <v>38</v>
      </c>
      <c r="AH43" s="2">
        <f>29185.83+12535.31+131203.05-108322.5-22500+AH39+AH22</f>
        <v>1131842.5499999998</v>
      </c>
      <c r="AL43" s="12" t="s">
        <v>66</v>
      </c>
      <c r="AM43" s="14">
        <f>1254893.26-1088592.9-89849-21750+AM39</f>
        <v>650168.87000000011</v>
      </c>
      <c r="AN43" s="15" t="s">
        <v>67</v>
      </c>
      <c r="AO43" s="2"/>
      <c r="AR43" s="2">
        <f>1328429.81-920307.68-159385-205500+AR39+AR17+AR22</f>
        <v>608702.46</v>
      </c>
      <c r="AS43" s="2"/>
      <c r="BA43" s="2">
        <f>1033399.54-526992.64-265064-191250+BA39-31485.2-14152.6</f>
        <v>531447.74000000022</v>
      </c>
      <c r="BH43" s="2">
        <f>818895.78-657525.04-114850+BH39</f>
        <v>704045.78</v>
      </c>
      <c r="BM43" s="2">
        <f>313570-112548-150000+BM39</f>
        <v>745801.35000000021</v>
      </c>
      <c r="BS43" s="2"/>
    </row>
    <row r="44" spans="2:87" x14ac:dyDescent="0.25">
      <c r="C44" s="2"/>
      <c r="D44" s="7"/>
      <c r="E44" s="2"/>
      <c r="F44" s="2"/>
      <c r="G44" s="2"/>
      <c r="Y44" s="2"/>
      <c r="AS44" s="2"/>
      <c r="BS44" s="2"/>
    </row>
    <row r="45" spans="2:87" x14ac:dyDescent="0.25">
      <c r="B45" t="s">
        <v>29</v>
      </c>
      <c r="Y45" s="2"/>
      <c r="BS45" s="2"/>
    </row>
    <row r="46" spans="2:87" x14ac:dyDescent="0.25">
      <c r="B46" t="s">
        <v>11</v>
      </c>
      <c r="C46" s="2"/>
      <c r="D46" s="2"/>
      <c r="E46" s="2">
        <v>1500</v>
      </c>
      <c r="F46" s="2">
        <v>9000</v>
      </c>
      <c r="G46" s="2"/>
      <c r="H46" s="2">
        <v>10500</v>
      </c>
      <c r="I46" s="2"/>
      <c r="J46" s="2"/>
      <c r="K46" s="2"/>
      <c r="L46" s="2"/>
      <c r="M46" s="2">
        <v>4500</v>
      </c>
      <c r="N46" s="2"/>
      <c r="O46" s="2"/>
      <c r="P46" s="2">
        <v>39000</v>
      </c>
      <c r="Q46" s="2"/>
      <c r="R46" s="2"/>
      <c r="S46" s="2" t="s">
        <v>30</v>
      </c>
      <c r="T46" s="2">
        <v>102000</v>
      </c>
      <c r="U46" s="2"/>
      <c r="V46" s="2"/>
      <c r="W46" s="2"/>
      <c r="X46" s="2"/>
      <c r="Y46" s="2">
        <v>73500</v>
      </c>
      <c r="Z46" s="2"/>
      <c r="AA46" s="2"/>
      <c r="AB46" s="2"/>
      <c r="AC46" s="2">
        <v>25500</v>
      </c>
      <c r="AH46" s="2">
        <v>22500</v>
      </c>
      <c r="AM46" s="2">
        <v>21750</v>
      </c>
      <c r="AR46" s="2">
        <v>205500</v>
      </c>
      <c r="AS46" s="2"/>
      <c r="BA46" s="2">
        <v>191250</v>
      </c>
      <c r="BM46" s="2">
        <f>111750+24750+13500</f>
        <v>150000</v>
      </c>
      <c r="BS46" s="2">
        <v>1055250</v>
      </c>
      <c r="BY46" s="2">
        <v>575250</v>
      </c>
      <c r="CE46" s="2">
        <v>3821796.3</v>
      </c>
      <c r="CF46" s="2">
        <f>SUM(E46:CE46)</f>
        <v>6308796.2999999998</v>
      </c>
    </row>
    <row r="47" spans="2:87" x14ac:dyDescent="0.25">
      <c r="B47" t="s">
        <v>19</v>
      </c>
      <c r="C47" s="2"/>
      <c r="D47" s="2"/>
      <c r="E47" s="4"/>
      <c r="F47" s="2"/>
      <c r="G47" s="2"/>
      <c r="H47" s="2"/>
      <c r="I47" s="2"/>
      <c r="J47" s="2"/>
      <c r="K47" s="2">
        <v>900</v>
      </c>
      <c r="L47" s="2"/>
      <c r="M47" s="2">
        <v>4800</v>
      </c>
      <c r="N47" s="2"/>
      <c r="O47" s="2"/>
      <c r="P47" s="2">
        <v>22375</v>
      </c>
      <c r="Q47" s="2"/>
      <c r="R47" s="2"/>
      <c r="S47" s="2" t="s">
        <v>31</v>
      </c>
      <c r="T47" s="4">
        <f>5000+7375+7200</f>
        <v>19575</v>
      </c>
      <c r="U47" s="2"/>
      <c r="V47" s="2"/>
      <c r="W47" s="2"/>
      <c r="X47" s="2"/>
      <c r="Y47" s="2">
        <v>67300</v>
      </c>
      <c r="Z47" s="2"/>
      <c r="AA47" s="2"/>
      <c r="AB47" s="2"/>
      <c r="AC47" s="2">
        <v>68275</v>
      </c>
      <c r="AH47" s="2">
        <v>82177.5</v>
      </c>
      <c r="AM47" s="2">
        <v>115994</v>
      </c>
      <c r="AR47" s="2">
        <v>159385</v>
      </c>
      <c r="BA47" s="2">
        <v>235964</v>
      </c>
      <c r="BH47" s="2">
        <v>143950</v>
      </c>
      <c r="BM47" s="2">
        <f>27749+32250+29249+20600+2700</f>
        <v>112548</v>
      </c>
      <c r="BS47" s="2">
        <v>194135</v>
      </c>
      <c r="BY47" s="2">
        <v>223850</v>
      </c>
      <c r="CE47" s="2">
        <v>246002</v>
      </c>
      <c r="CF47" s="2">
        <f t="shared" ref="CF47:CF48" si="34">SUM(E47:CE47)</f>
        <v>1697230.5</v>
      </c>
    </row>
    <row r="48" spans="2:87" x14ac:dyDescent="0.25">
      <c r="B48" t="s">
        <v>12</v>
      </c>
      <c r="C48" s="2"/>
      <c r="D48" s="2"/>
      <c r="E48" s="3"/>
      <c r="F48" s="3">
        <v>2500</v>
      </c>
      <c r="G48" s="3">
        <v>9900</v>
      </c>
      <c r="H48" s="3"/>
      <c r="I48" s="2"/>
      <c r="J48" s="2"/>
      <c r="K48" s="3">
        <v>16000</v>
      </c>
      <c r="L48" s="2"/>
      <c r="M48" s="3"/>
      <c r="N48" s="2"/>
      <c r="O48" s="2"/>
      <c r="P48" s="3"/>
      <c r="Q48" s="2"/>
      <c r="R48" s="2"/>
      <c r="S48" s="2"/>
      <c r="T48" s="3"/>
      <c r="U48" s="2"/>
      <c r="V48" s="2"/>
      <c r="W48" s="2"/>
      <c r="X48" s="2"/>
      <c r="Y48" s="3"/>
      <c r="Z48" s="2"/>
      <c r="AA48" s="2"/>
      <c r="AB48" s="2"/>
      <c r="AC48" s="3"/>
      <c r="AH48" s="3"/>
      <c r="AM48" s="5"/>
      <c r="AR48" s="3"/>
      <c r="BA48" s="3"/>
      <c r="BH48" s="2"/>
      <c r="BM48" s="3"/>
      <c r="BO48" s="2"/>
      <c r="BS48" s="2"/>
      <c r="BY48" s="2"/>
      <c r="CE48" s="2"/>
      <c r="CF48" s="2">
        <f t="shared" si="34"/>
        <v>28400</v>
      </c>
    </row>
    <row r="49" spans="2:84" x14ac:dyDescent="0.25">
      <c r="B49" t="s">
        <v>32</v>
      </c>
      <c r="C49" s="2"/>
      <c r="D49" s="2"/>
      <c r="E49" s="2">
        <f>SUM(E46:E48)</f>
        <v>1500</v>
      </c>
      <c r="F49" s="2">
        <f>SUM(F46:F48)</f>
        <v>11500</v>
      </c>
      <c r="G49" s="2">
        <f>SUM(G46:G48)</f>
        <v>9900</v>
      </c>
      <c r="H49" s="2">
        <f>SUM(H46:H48)</f>
        <v>10500</v>
      </c>
      <c r="I49" s="2"/>
      <c r="J49" s="2"/>
      <c r="K49" s="2">
        <f t="shared" ref="K49" si="35">SUM(K46:K48)</f>
        <v>16900</v>
      </c>
      <c r="L49" s="2"/>
      <c r="M49" s="2">
        <f t="shared" ref="M49" si="36">SUM(M46:M48)</f>
        <v>9300</v>
      </c>
      <c r="N49" s="2"/>
      <c r="O49" s="2"/>
      <c r="P49" s="2">
        <f t="shared" ref="P49" si="37">SUM(P46:P48)</f>
        <v>61375</v>
      </c>
      <c r="Q49" s="2"/>
      <c r="R49" s="2"/>
      <c r="S49" s="2"/>
      <c r="T49" s="4">
        <f>SUM(T46:T47)</f>
        <v>121575</v>
      </c>
      <c r="U49" s="2"/>
      <c r="V49" s="2"/>
      <c r="W49" s="2"/>
      <c r="X49" s="2"/>
      <c r="Y49" s="2">
        <f>SUM(Y46:Y48)</f>
        <v>140800</v>
      </c>
      <c r="Z49" s="2"/>
      <c r="AA49" s="2"/>
      <c r="AB49" s="2"/>
      <c r="AC49" s="2">
        <f t="shared" ref="AC49" si="38">SUM(AC46:AC48)</f>
        <v>93775</v>
      </c>
      <c r="AH49" s="2">
        <f>SUM(AH46:AH48)</f>
        <v>104677.5</v>
      </c>
      <c r="AM49" s="2">
        <f>AM46+AM47</f>
        <v>137744</v>
      </c>
      <c r="AR49" s="2">
        <f>AR46+AR47</f>
        <v>364885</v>
      </c>
      <c r="BA49" s="2">
        <f>BA46+BA47</f>
        <v>427214</v>
      </c>
      <c r="BH49" s="2">
        <f>SUM(BH46:BH48)</f>
        <v>143950</v>
      </c>
      <c r="BM49" s="2">
        <f>BM46+BM47</f>
        <v>262548</v>
      </c>
      <c r="BS49" s="2">
        <f>BS46+BS47</f>
        <v>1249385</v>
      </c>
      <c r="BY49" s="2">
        <f>BY46+BY47</f>
        <v>799100</v>
      </c>
      <c r="CE49" s="2">
        <f>CE46+CE47</f>
        <v>4067798.3</v>
      </c>
      <c r="CF49" s="2">
        <f>SUM(CF46:CF48)</f>
        <v>8034426.7999999998</v>
      </c>
    </row>
    <row r="52" spans="2:84" x14ac:dyDescent="0.25">
      <c r="G52" s="2"/>
    </row>
  </sheetData>
  <mergeCells count="9">
    <mergeCell ref="BD3:BE3"/>
    <mergeCell ref="AY3:AZ3"/>
    <mergeCell ref="AP3:AQ3"/>
    <mergeCell ref="AK3:AL3"/>
    <mergeCell ref="O3:P3"/>
    <mergeCell ref="S3:T3"/>
    <mergeCell ref="X3:Y3"/>
    <mergeCell ref="AB3:AC3"/>
    <mergeCell ref="AF3:AG3"/>
  </mergeCells>
  <printOptions horizontalCentered="1" verticalCentered="1" gridLine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3:CP63"/>
  <sheetViews>
    <sheetView tabSelected="1" workbookViewId="0">
      <pane xSplit="3" ySplit="4" topLeftCell="CI5" activePane="bottomRight" state="frozen"/>
      <selection pane="topRight" activeCell="D1" sqref="D1"/>
      <selection pane="bottomLeft" activeCell="A5" sqref="A5"/>
      <selection pane="bottomRight" activeCell="CN9" sqref="CN9"/>
    </sheetView>
  </sheetViews>
  <sheetFormatPr defaultRowHeight="15" x14ac:dyDescent="0.25"/>
  <cols>
    <col min="1" max="1" width="17.85546875" customWidth="1"/>
    <col min="2" max="2" width="31.28515625" bestFit="1" customWidth="1"/>
    <col min="3" max="3" width="6.28515625" customWidth="1"/>
    <col min="4" max="4" width="16.7109375" bestFit="1" customWidth="1"/>
    <col min="7" max="7" width="21.42578125" bestFit="1" customWidth="1"/>
    <col min="8" max="8" width="14" customWidth="1"/>
    <col min="11" max="11" width="17.140625" customWidth="1"/>
    <col min="14" max="14" width="21.140625" customWidth="1"/>
    <col min="15" max="15" width="12.42578125" customWidth="1"/>
    <col min="16" max="16" width="16.7109375" bestFit="1" customWidth="1"/>
    <col min="19" max="19" width="21.7109375" customWidth="1"/>
    <col min="20" max="20" width="10.140625" bestFit="1" customWidth="1"/>
    <col min="23" max="23" width="16.7109375" bestFit="1" customWidth="1"/>
    <col min="26" max="26" width="21.42578125" bestFit="1" customWidth="1"/>
    <col min="27" max="27" width="10.140625" bestFit="1" customWidth="1"/>
    <col min="28" max="28" width="12.7109375" customWidth="1"/>
    <col min="29" max="29" width="16.7109375" bestFit="1" customWidth="1"/>
    <col min="32" max="32" width="21" customWidth="1"/>
    <col min="33" max="33" width="12.140625" customWidth="1"/>
    <col min="35" max="35" width="16.85546875" customWidth="1"/>
    <col min="38" max="38" width="21.7109375" customWidth="1"/>
    <col min="39" max="39" width="10.140625" bestFit="1" customWidth="1"/>
    <col min="41" max="41" width="61.140625" customWidth="1"/>
    <col min="42" max="42" width="37.42578125" bestFit="1" customWidth="1"/>
    <col min="43" max="43" width="18.5703125" customWidth="1"/>
    <col min="47" max="47" width="18.85546875" customWidth="1"/>
    <col min="50" max="50" width="21.140625" customWidth="1"/>
    <col min="51" max="52" width="10.140625" bestFit="1" customWidth="1"/>
    <col min="55" max="55" width="16.7109375" bestFit="1" customWidth="1"/>
    <col min="57" max="57" width="11.140625" customWidth="1"/>
    <col min="58" max="58" width="21.42578125" bestFit="1" customWidth="1"/>
    <col min="59" max="59" width="10.140625" bestFit="1" customWidth="1"/>
    <col min="61" max="61" width="11.85546875" customWidth="1"/>
    <col min="64" max="64" width="13.7109375" customWidth="1"/>
    <col min="65" max="65" width="4.42578125" customWidth="1"/>
    <col min="67" max="67" width="12.140625" customWidth="1"/>
    <col min="70" max="70" width="8.5703125" customWidth="1"/>
    <col min="71" max="71" width="11" customWidth="1"/>
    <col min="72" max="72" width="10.140625" bestFit="1" customWidth="1"/>
    <col min="73" max="73" width="16.7109375" bestFit="1" customWidth="1"/>
    <col min="74" max="74" width="12.140625" customWidth="1"/>
    <col min="76" max="76" width="21.42578125" customWidth="1"/>
    <col min="77" max="77" width="10.140625" bestFit="1" customWidth="1"/>
    <col min="80" max="80" width="16.7109375" bestFit="1" customWidth="1"/>
    <col min="83" max="83" width="21.42578125" bestFit="1" customWidth="1"/>
    <col min="84" max="84" width="10.140625" bestFit="1" customWidth="1"/>
    <col min="86" max="86" width="16.7109375" bestFit="1" customWidth="1"/>
    <col min="87" max="87" width="11.7109375" bestFit="1" customWidth="1"/>
    <col min="89" max="89" width="21.42578125" bestFit="1" customWidth="1"/>
    <col min="90" max="90" width="11.7109375" bestFit="1" customWidth="1"/>
    <col min="91" max="91" width="10.140625" bestFit="1" customWidth="1"/>
    <col min="92" max="92" width="30.5703125" bestFit="1" customWidth="1"/>
    <col min="93" max="93" width="11.7109375" bestFit="1" customWidth="1"/>
  </cols>
  <sheetData>
    <row r="3" spans="2:94" x14ac:dyDescent="0.25">
      <c r="D3" s="28">
        <v>42005</v>
      </c>
      <c r="E3" s="28"/>
      <c r="F3" s="28"/>
      <c r="G3" s="28"/>
      <c r="K3" s="28">
        <v>42036</v>
      </c>
      <c r="L3" s="28"/>
      <c r="M3" s="28"/>
      <c r="N3" s="28"/>
      <c r="P3" s="28">
        <v>42064</v>
      </c>
      <c r="Q3" s="28"/>
      <c r="R3" s="28"/>
      <c r="S3" s="28"/>
      <c r="W3" s="28">
        <v>42095</v>
      </c>
      <c r="X3" s="28"/>
      <c r="Y3" s="28"/>
      <c r="Z3" s="28"/>
      <c r="AC3" s="28">
        <v>42139</v>
      </c>
      <c r="AD3" s="28"/>
      <c r="AE3" s="28"/>
      <c r="AF3" s="28"/>
      <c r="AI3" s="28" t="s">
        <v>97</v>
      </c>
      <c r="AJ3" s="28"/>
      <c r="AK3" s="28"/>
      <c r="AL3" s="28"/>
      <c r="AU3" s="28">
        <v>42186</v>
      </c>
      <c r="AV3" s="28"/>
      <c r="AW3" s="28"/>
      <c r="AX3" s="28"/>
      <c r="BC3" s="28">
        <v>42217</v>
      </c>
      <c r="BD3" s="28"/>
      <c r="BE3" s="28"/>
      <c r="BF3" s="28"/>
      <c r="BI3" s="29">
        <v>42248</v>
      </c>
      <c r="BJ3" s="30"/>
      <c r="BK3" s="30"/>
      <c r="BL3" s="30"/>
      <c r="BM3" s="30"/>
      <c r="BN3" s="30"/>
      <c r="BO3" s="30"/>
      <c r="BP3" s="30"/>
      <c r="BQ3" s="30"/>
      <c r="BR3" s="30"/>
      <c r="BS3" s="31"/>
      <c r="BU3" s="28">
        <v>42278</v>
      </c>
      <c r="BV3" s="28"/>
      <c r="BW3" s="28"/>
      <c r="BX3" s="28"/>
      <c r="CB3" s="28">
        <v>42309</v>
      </c>
      <c r="CC3" s="28"/>
      <c r="CD3" s="28"/>
      <c r="CE3" s="28"/>
      <c r="CH3" s="28">
        <v>42339</v>
      </c>
      <c r="CI3" s="28"/>
      <c r="CJ3" s="28"/>
      <c r="CK3" s="28"/>
    </row>
    <row r="4" spans="2:94" ht="58.5" customHeight="1" x14ac:dyDescent="0.25">
      <c r="D4" t="s">
        <v>6</v>
      </c>
      <c r="E4" t="s">
        <v>7</v>
      </c>
      <c r="F4" t="s">
        <v>8</v>
      </c>
      <c r="G4" t="s">
        <v>82</v>
      </c>
      <c r="K4" t="s">
        <v>6</v>
      </c>
      <c r="L4" t="s">
        <v>7</v>
      </c>
      <c r="M4" t="s">
        <v>8</v>
      </c>
      <c r="N4" t="s">
        <v>82</v>
      </c>
      <c r="P4" t="s">
        <v>6</v>
      </c>
      <c r="Q4" t="s">
        <v>7</v>
      </c>
      <c r="R4" t="s">
        <v>8</v>
      </c>
      <c r="S4" t="s">
        <v>82</v>
      </c>
      <c r="W4" t="s">
        <v>6</v>
      </c>
      <c r="X4" t="s">
        <v>7</v>
      </c>
      <c r="Y4" t="s">
        <v>8</v>
      </c>
      <c r="Z4" t="s">
        <v>82</v>
      </c>
      <c r="AC4" t="s">
        <v>6</v>
      </c>
      <c r="AD4" t="s">
        <v>7</v>
      </c>
      <c r="AE4" t="s">
        <v>8</v>
      </c>
      <c r="AF4" t="s">
        <v>82</v>
      </c>
      <c r="AI4" t="s">
        <v>6</v>
      </c>
      <c r="AJ4" t="s">
        <v>7</v>
      </c>
      <c r="AK4" t="s">
        <v>8</v>
      </c>
      <c r="AL4" t="s">
        <v>82</v>
      </c>
      <c r="AU4" t="s">
        <v>6</v>
      </c>
      <c r="AV4" t="s">
        <v>7</v>
      </c>
      <c r="AW4" t="s">
        <v>8</v>
      </c>
      <c r="AX4" t="s">
        <v>82</v>
      </c>
      <c r="BC4" t="s">
        <v>6</v>
      </c>
      <c r="BD4" t="s">
        <v>7</v>
      </c>
      <c r="BE4" t="s">
        <v>8</v>
      </c>
      <c r="BF4" t="s">
        <v>82</v>
      </c>
      <c r="BI4" s="23" t="s">
        <v>6</v>
      </c>
      <c r="BJ4" s="24" t="s">
        <v>120</v>
      </c>
      <c r="BK4" s="5" t="s">
        <v>8</v>
      </c>
      <c r="BL4" s="24" t="s">
        <v>82</v>
      </c>
      <c r="BM4" s="5"/>
      <c r="BN4" s="24" t="s">
        <v>6</v>
      </c>
      <c r="BO4" s="24" t="s">
        <v>121</v>
      </c>
      <c r="BP4" s="5" t="s">
        <v>8</v>
      </c>
      <c r="BQ4" s="24" t="s">
        <v>82</v>
      </c>
      <c r="BR4" s="25" t="s">
        <v>123</v>
      </c>
      <c r="BS4" s="25" t="s">
        <v>124</v>
      </c>
      <c r="BU4" t="s">
        <v>6</v>
      </c>
      <c r="BV4" t="s">
        <v>7</v>
      </c>
      <c r="BW4" t="s">
        <v>8</v>
      </c>
      <c r="BX4" t="s">
        <v>82</v>
      </c>
      <c r="CB4" t="s">
        <v>6</v>
      </c>
      <c r="CC4" t="s">
        <v>7</v>
      </c>
      <c r="CD4" t="s">
        <v>8</v>
      </c>
      <c r="CE4" t="s">
        <v>82</v>
      </c>
      <c r="CH4" t="s">
        <v>6</v>
      </c>
      <c r="CI4" t="s">
        <v>7</v>
      </c>
      <c r="CJ4" t="s">
        <v>8</v>
      </c>
      <c r="CK4" t="s">
        <v>82</v>
      </c>
    </row>
    <row r="5" spans="2:94" x14ac:dyDescent="0.25">
      <c r="B5" t="s">
        <v>0</v>
      </c>
      <c r="D5" s="2">
        <f>121.74*(1+44.95%)</f>
        <v>176.46213</v>
      </c>
      <c r="E5">
        <v>53</v>
      </c>
      <c r="F5">
        <f>D5*E5</f>
        <v>9352.4928899999995</v>
      </c>
      <c r="G5" s="2">
        <f>176.46*E5</f>
        <v>9352.380000000001</v>
      </c>
      <c r="K5" s="2">
        <f>(1+44.95%)*121.74</f>
        <v>176.46213</v>
      </c>
      <c r="L5">
        <v>58</v>
      </c>
      <c r="M5" s="2">
        <f>K5*L5</f>
        <v>10234.803540000001</v>
      </c>
      <c r="N5" s="2">
        <f>176.46*L5</f>
        <v>10234.68</v>
      </c>
      <c r="P5" s="2">
        <f>121.74+121.74*44.95%</f>
        <v>176.46213</v>
      </c>
      <c r="Q5">
        <v>77</v>
      </c>
      <c r="R5" s="2">
        <f>P5*Q5</f>
        <v>13587.58401</v>
      </c>
      <c r="S5" s="2">
        <f>176.46*Q5</f>
        <v>13587.42</v>
      </c>
      <c r="W5" s="2">
        <f>124.65+124.65*44.95%</f>
        <v>180.68017500000002</v>
      </c>
      <c r="X5">
        <v>63</v>
      </c>
      <c r="Y5" s="2">
        <f>W5*X5</f>
        <v>11382.851025000002</v>
      </c>
      <c r="Z5" s="2">
        <f>180.68*X5</f>
        <v>11382.84</v>
      </c>
      <c r="AC5" s="2">
        <f>124.65+124.65*44.95%</f>
        <v>180.68017500000002</v>
      </c>
      <c r="AD5" s="2">
        <v>66</v>
      </c>
      <c r="AE5" s="2">
        <f>AC5*AD5</f>
        <v>11924.891550000002</v>
      </c>
      <c r="AF5" s="2">
        <f>180.68*AD5</f>
        <v>11924.880000000001</v>
      </c>
      <c r="AI5" s="2">
        <f>124.65+124.65*44.95%</f>
        <v>180.68017500000002</v>
      </c>
      <c r="AJ5">
        <v>71</v>
      </c>
      <c r="AK5" s="2">
        <f>AI5*AJ5</f>
        <v>12828.292425000001</v>
      </c>
      <c r="AL5" s="2">
        <f>180.68*AJ5</f>
        <v>12828.28</v>
      </c>
      <c r="AX5" s="2"/>
      <c r="BC5" s="2">
        <f>121.99+121.99*44.95%</f>
        <v>176.82450499999999</v>
      </c>
      <c r="BD5">
        <v>60</v>
      </c>
      <c r="BE5" s="2">
        <f>BC5*BD5</f>
        <v>10609.470299999999</v>
      </c>
      <c r="BF5" s="2">
        <f>176.82*BD5</f>
        <v>10609.199999999999</v>
      </c>
      <c r="BI5" s="2">
        <f>121.92+121.92*44.95%</f>
        <v>176.72304</v>
      </c>
      <c r="BJ5">
        <v>61</v>
      </c>
      <c r="BK5" s="2">
        <f>BI5*BJ5</f>
        <v>10780.105439999999</v>
      </c>
      <c r="BL5" s="2">
        <f>176.72*BJ5</f>
        <v>10779.92</v>
      </c>
      <c r="BN5" s="2">
        <f>121.92+121.92*44.95%</f>
        <v>176.72304</v>
      </c>
      <c r="BO5">
        <v>67</v>
      </c>
      <c r="BP5" s="2">
        <f>BN5*BO5</f>
        <v>11840.44368</v>
      </c>
      <c r="BQ5" s="2">
        <f>176.72*BO5</f>
        <v>11840.24</v>
      </c>
      <c r="BR5">
        <f>BJ5+BO5</f>
        <v>128</v>
      </c>
      <c r="BU5" s="2">
        <f>121.92+121.92*44.95%</f>
        <v>176.72304</v>
      </c>
      <c r="BV5">
        <v>61</v>
      </c>
      <c r="BW5" s="2">
        <f>BU5*BV5</f>
        <v>10780.105439999999</v>
      </c>
      <c r="BX5" s="2">
        <f>176.72*BV5</f>
        <v>10779.92</v>
      </c>
      <c r="CB5" s="2">
        <f>121.92+121.92*44.95%</f>
        <v>176.72304</v>
      </c>
      <c r="CC5">
        <v>53</v>
      </c>
      <c r="CD5" s="2">
        <f>CB5*CC5</f>
        <v>9366.3211200000005</v>
      </c>
      <c r="CE5" s="2">
        <f>176.72*CC5</f>
        <v>9366.16</v>
      </c>
      <c r="CH5" s="2">
        <f>121.92+121.92*44.95%</f>
        <v>176.72304</v>
      </c>
      <c r="CI5">
        <v>69</v>
      </c>
      <c r="CJ5">
        <f>CH5*CI5</f>
        <v>12193.88976</v>
      </c>
      <c r="CK5" s="2">
        <f>176.72*CI5</f>
        <v>12193.68</v>
      </c>
    </row>
    <row r="6" spans="2:94" x14ac:dyDescent="0.25">
      <c r="B6" t="s">
        <v>1</v>
      </c>
      <c r="D6" s="2">
        <f>88.24*(1+44.95%)</f>
        <v>127.90387999999999</v>
      </c>
      <c r="E6">
        <v>160</v>
      </c>
      <c r="F6">
        <f t="shared" ref="F6:F8" si="0">D6*E6</f>
        <v>20464.620799999997</v>
      </c>
      <c r="G6" s="2">
        <f>127.9*E6</f>
        <v>20464</v>
      </c>
      <c r="K6" s="2">
        <f>(1+44.95%)*88.24</f>
        <v>127.90387999999999</v>
      </c>
      <c r="L6">
        <v>152</v>
      </c>
      <c r="M6" s="2">
        <f t="shared" ref="M6:M11" si="1">K6*L6</f>
        <v>19441.389759999998</v>
      </c>
      <c r="N6" s="2">
        <f>127.9*L6</f>
        <v>19440.8</v>
      </c>
      <c r="P6" s="2">
        <f>88.24+88.24*44.95%</f>
        <v>127.90387999999999</v>
      </c>
      <c r="Q6">
        <v>176</v>
      </c>
      <c r="R6" s="2">
        <f t="shared" ref="R6:R11" si="2">P6*Q6</f>
        <v>22511.082879999998</v>
      </c>
      <c r="S6" s="2">
        <f>127.9*176</f>
        <v>22510.400000000001</v>
      </c>
      <c r="W6" s="2">
        <f>91.02+91.02*44.95%</f>
        <v>131.93349000000001</v>
      </c>
      <c r="X6">
        <v>168</v>
      </c>
      <c r="Y6" s="2">
        <f t="shared" ref="Y6:Y11" si="3">W6*X6</f>
        <v>22164.82632</v>
      </c>
      <c r="Z6" s="2">
        <f>131.93*X6</f>
        <v>22164.240000000002</v>
      </c>
      <c r="AC6" s="2">
        <f>91.02+91.02*44.95%</f>
        <v>131.93349000000001</v>
      </c>
      <c r="AD6" s="2">
        <v>144</v>
      </c>
      <c r="AE6" s="2">
        <f t="shared" ref="AE6:AE11" si="4">AC6*AD6</f>
        <v>18998.422559999999</v>
      </c>
      <c r="AF6" s="2">
        <f>131.93*AD6</f>
        <v>18997.920000000002</v>
      </c>
      <c r="AI6" s="2">
        <f>91.02+91.02*44.95%</f>
        <v>131.93349000000001</v>
      </c>
      <c r="AJ6">
        <v>168</v>
      </c>
      <c r="AK6" s="2">
        <f t="shared" ref="AK6:AK11" si="5">AI6*AJ6</f>
        <v>22164.82632</v>
      </c>
      <c r="AL6" s="2">
        <f>131.93*AJ6</f>
        <v>22164.240000000002</v>
      </c>
      <c r="AX6" s="2"/>
      <c r="BC6" s="2">
        <f>86.13+86.13*44.95%</f>
        <v>124.84543499999999</v>
      </c>
      <c r="BD6">
        <v>109</v>
      </c>
      <c r="BE6" s="2">
        <f>BC6*BD6</f>
        <v>13608.152414999999</v>
      </c>
      <c r="BF6" s="2">
        <f>124.85*BD6</f>
        <v>13608.65</v>
      </c>
      <c r="BI6" s="2">
        <f>86.13+86.13*44.95%</f>
        <v>124.84543499999999</v>
      </c>
      <c r="BJ6">
        <v>156</v>
      </c>
      <c r="BK6" s="2">
        <f t="shared" ref="BK6:BK12" si="6">BI6*BJ6</f>
        <v>19475.887859999999</v>
      </c>
      <c r="BL6" s="2">
        <f>124.85*BJ6</f>
        <v>19476.599999999999</v>
      </c>
      <c r="BN6" s="2">
        <f>86.13+86.13*44.95%</f>
        <v>124.84543499999999</v>
      </c>
      <c r="BO6">
        <v>152</v>
      </c>
      <c r="BP6" s="2">
        <f t="shared" ref="BP6:BP11" si="7">BN6*BO6</f>
        <v>18976.506119999998</v>
      </c>
      <c r="BQ6" s="2">
        <f>124.85*BO6</f>
        <v>18977.2</v>
      </c>
      <c r="BR6">
        <f t="shared" ref="BR6:BR12" si="8">BJ6+BO6</f>
        <v>308</v>
      </c>
      <c r="BU6" s="2">
        <f>86.13+86.13*44.95%</f>
        <v>124.84543499999999</v>
      </c>
      <c r="BV6">
        <v>154</v>
      </c>
      <c r="BW6" s="2">
        <f t="shared" ref="BW6:BW11" si="9">BU6*BV6</f>
        <v>19226.19699</v>
      </c>
      <c r="BX6" s="2">
        <f>124.85*BV6</f>
        <v>19226.899999999998</v>
      </c>
      <c r="CB6" s="2">
        <f>86.13+86.13*44.95%</f>
        <v>124.84543499999999</v>
      </c>
      <c r="CC6">
        <v>141</v>
      </c>
      <c r="CD6" s="2">
        <f t="shared" ref="CD6:CD11" si="10">CB6*CC6</f>
        <v>17603.206334999999</v>
      </c>
      <c r="CE6" s="2">
        <f>124.85*CC6</f>
        <v>17603.849999999999</v>
      </c>
      <c r="CH6" s="2">
        <f>86.13+86.13*44.95%</f>
        <v>124.84543499999999</v>
      </c>
      <c r="CI6">
        <v>152</v>
      </c>
      <c r="CJ6">
        <f t="shared" ref="CJ6:CJ11" si="11">CH6*CI6</f>
        <v>18976.506119999998</v>
      </c>
      <c r="CK6" s="2">
        <f>124.85*CI6</f>
        <v>18977.2</v>
      </c>
    </row>
    <row r="7" spans="2:94" x14ac:dyDescent="0.25">
      <c r="B7" t="s">
        <v>3</v>
      </c>
      <c r="D7" s="2">
        <f>113.05*(1+44.95%)</f>
        <v>163.86597499999999</v>
      </c>
      <c r="E7">
        <v>1</v>
      </c>
      <c r="F7">
        <f t="shared" si="0"/>
        <v>163.86597499999999</v>
      </c>
      <c r="G7" s="2">
        <f>163.87*E7</f>
        <v>163.87</v>
      </c>
      <c r="K7" s="2">
        <f>(1+44.95%)*113.05</f>
        <v>163.86597499999999</v>
      </c>
      <c r="L7">
        <v>2.5</v>
      </c>
      <c r="M7" s="2">
        <f t="shared" si="1"/>
        <v>409.66493749999995</v>
      </c>
      <c r="N7" s="2">
        <f>163.87*L7</f>
        <v>409.67500000000001</v>
      </c>
      <c r="P7" s="2">
        <f>113.05+113.05*44.95%</f>
        <v>163.86597499999999</v>
      </c>
      <c r="Q7">
        <v>3</v>
      </c>
      <c r="R7" s="2">
        <f t="shared" si="2"/>
        <v>491.59792499999998</v>
      </c>
      <c r="S7" s="2">
        <f>163.87*Q7</f>
        <v>491.61</v>
      </c>
      <c r="W7" s="2">
        <f>114.09+114.09*44.95%</f>
        <v>165.37345500000001</v>
      </c>
      <c r="X7">
        <v>3</v>
      </c>
      <c r="Y7" s="2">
        <f t="shared" si="3"/>
        <v>496.12036499999999</v>
      </c>
      <c r="Z7" s="2">
        <f>165.37*X7</f>
        <v>496.11</v>
      </c>
      <c r="AC7" s="2">
        <f>114.24+114.24*44.95%</f>
        <v>165.59088</v>
      </c>
      <c r="AD7" s="2">
        <v>5.5</v>
      </c>
      <c r="AE7" s="2">
        <f t="shared" si="4"/>
        <v>910.74983999999995</v>
      </c>
      <c r="AF7" s="2">
        <f>165.59*AD7</f>
        <v>910.745</v>
      </c>
      <c r="AI7" s="2">
        <f>114.24+114.24*44.95%</f>
        <v>165.59088</v>
      </c>
      <c r="AJ7">
        <v>5</v>
      </c>
      <c r="AK7" s="2">
        <f t="shared" si="5"/>
        <v>827.95439999999996</v>
      </c>
      <c r="AL7" s="2">
        <f>165.59*AJ7</f>
        <v>827.95</v>
      </c>
      <c r="AX7" s="2"/>
      <c r="BC7" s="2">
        <f>111.62+111.62*44.95%</f>
        <v>161.79319000000001</v>
      </c>
      <c r="BD7">
        <v>2</v>
      </c>
      <c r="BE7" s="2">
        <f t="shared" ref="BE7:BE12" si="12">BC7*BD7</f>
        <v>323.58638000000002</v>
      </c>
      <c r="BF7" s="2">
        <f>161.79*BD7</f>
        <v>323.58</v>
      </c>
      <c r="BI7" s="2">
        <f>111.54+111.54*44.95%</f>
        <v>161.67723000000001</v>
      </c>
      <c r="BJ7">
        <v>2.5</v>
      </c>
      <c r="BK7" s="2">
        <f t="shared" si="6"/>
        <v>404.19307500000002</v>
      </c>
      <c r="BL7" s="2">
        <f>161.68*BJ7</f>
        <v>404.20000000000005</v>
      </c>
      <c r="BN7" s="2">
        <f>111.54+111.54*44.95%</f>
        <v>161.67723000000001</v>
      </c>
      <c r="BO7">
        <v>2</v>
      </c>
      <c r="BP7" s="2">
        <f t="shared" si="7"/>
        <v>323.35446000000002</v>
      </c>
      <c r="BQ7" s="2">
        <f>161.68*BO7</f>
        <v>323.36</v>
      </c>
      <c r="BR7">
        <f t="shared" si="8"/>
        <v>4.5</v>
      </c>
      <c r="BU7" s="2">
        <f>111.54+111.54*44.95%</f>
        <v>161.67723000000001</v>
      </c>
      <c r="BV7">
        <v>3</v>
      </c>
      <c r="BW7" s="2">
        <f t="shared" si="9"/>
        <v>485.03169000000003</v>
      </c>
      <c r="BX7" s="2">
        <f>161.68*BV7</f>
        <v>485.04</v>
      </c>
      <c r="CB7" s="2">
        <f>111.54+111.54*44.95%</f>
        <v>161.67723000000001</v>
      </c>
      <c r="CC7">
        <v>2</v>
      </c>
      <c r="CD7" s="2">
        <f t="shared" si="10"/>
        <v>323.35446000000002</v>
      </c>
      <c r="CE7" s="2">
        <f>161.68*CC7</f>
        <v>323.36</v>
      </c>
      <c r="CH7" s="2">
        <f>111.54+111.54*44.95%</f>
        <v>161.67723000000001</v>
      </c>
      <c r="CI7">
        <v>2</v>
      </c>
      <c r="CJ7">
        <f t="shared" si="11"/>
        <v>323.35446000000002</v>
      </c>
      <c r="CK7" s="2">
        <f>161.68*CI7</f>
        <v>323.36</v>
      </c>
    </row>
    <row r="8" spans="2:94" x14ac:dyDescent="0.25">
      <c r="B8" t="s">
        <v>4</v>
      </c>
      <c r="D8" s="2">
        <f>75.96*(1+44.95%)</f>
        <v>110.10401999999999</v>
      </c>
      <c r="E8">
        <v>14</v>
      </c>
      <c r="F8">
        <f t="shared" si="0"/>
        <v>1541.4562799999999</v>
      </c>
      <c r="G8" s="2">
        <f>110.1*E8</f>
        <v>1541.3999999999999</v>
      </c>
      <c r="K8" s="2">
        <f>(1+44.95%)*75.96</f>
        <v>110.10401999999999</v>
      </c>
      <c r="L8">
        <v>18</v>
      </c>
      <c r="M8" s="2">
        <f t="shared" si="1"/>
        <v>1981.8723599999998</v>
      </c>
      <c r="N8" s="2">
        <f>110.1*18</f>
        <v>1981.8</v>
      </c>
      <c r="P8" s="2">
        <f>75.96+75.96*44.95%</f>
        <v>110.10401999999999</v>
      </c>
      <c r="Q8">
        <v>18</v>
      </c>
      <c r="R8" s="2">
        <f t="shared" si="2"/>
        <v>1981.8723599999998</v>
      </c>
      <c r="S8" s="2">
        <f>110.1*Q8</f>
        <v>1981.8</v>
      </c>
      <c r="W8" s="2">
        <f>75.96+75.96*44.95%</f>
        <v>110.10401999999999</v>
      </c>
      <c r="X8">
        <v>18</v>
      </c>
      <c r="Y8" s="2">
        <f t="shared" si="3"/>
        <v>1981.8723599999998</v>
      </c>
      <c r="Z8" s="2">
        <f>110.1*X8</f>
        <v>1981.8</v>
      </c>
      <c r="AC8" s="2">
        <f>75.96+75.96*44.95%</f>
        <v>110.10401999999999</v>
      </c>
      <c r="AD8" s="2">
        <v>18</v>
      </c>
      <c r="AE8" s="2">
        <f t="shared" si="4"/>
        <v>1981.8723599999998</v>
      </c>
      <c r="AF8" s="2">
        <f>110.1*AD8</f>
        <v>1981.8</v>
      </c>
      <c r="AI8" s="2">
        <f>75.96+75.96*44.95%</f>
        <v>110.10401999999999</v>
      </c>
      <c r="AJ8">
        <v>16</v>
      </c>
      <c r="AK8" s="2">
        <f t="shared" si="5"/>
        <v>1761.6643199999999</v>
      </c>
      <c r="AL8" s="2">
        <f>110.1*AJ8</f>
        <v>1761.6</v>
      </c>
      <c r="AX8" s="2"/>
      <c r="BC8" s="2">
        <f>76.43+76.43*44.95%</f>
        <v>110.78528500000002</v>
      </c>
      <c r="BD8">
        <v>22</v>
      </c>
      <c r="BE8" s="2">
        <f t="shared" si="12"/>
        <v>2437.2762700000003</v>
      </c>
      <c r="BF8" s="2">
        <f>110.79*BD8</f>
        <v>2437.38</v>
      </c>
      <c r="BI8" s="2">
        <f>76.35+76.35*44.95%</f>
        <v>110.66932499999999</v>
      </c>
      <c r="BJ8">
        <v>24</v>
      </c>
      <c r="BK8" s="2">
        <f t="shared" si="6"/>
        <v>2656.0637999999999</v>
      </c>
      <c r="BL8" s="2">
        <f>110.67*BJ8</f>
        <v>2656.08</v>
      </c>
      <c r="BN8" s="2">
        <f>76.35+76.35*44.95%</f>
        <v>110.66932499999999</v>
      </c>
      <c r="BO8">
        <v>16.5</v>
      </c>
      <c r="BP8" s="2">
        <f t="shared" si="7"/>
        <v>1826.0438624999997</v>
      </c>
      <c r="BQ8" s="2">
        <f>110.67*BO8</f>
        <v>1826.0550000000001</v>
      </c>
      <c r="BR8">
        <f t="shared" si="8"/>
        <v>40.5</v>
      </c>
      <c r="BU8" s="2">
        <f>76.35+76.35*44.95%</f>
        <v>110.66932499999999</v>
      </c>
      <c r="BV8">
        <v>12</v>
      </c>
      <c r="BW8" s="2">
        <f t="shared" si="9"/>
        <v>1328.0319</v>
      </c>
      <c r="BX8" s="2">
        <f>110.67*12</f>
        <v>1328.04</v>
      </c>
      <c r="CB8" s="2">
        <f>76.35+76.35*44.95%</f>
        <v>110.66932499999999</v>
      </c>
      <c r="CC8">
        <v>10</v>
      </c>
      <c r="CD8" s="2">
        <f t="shared" si="10"/>
        <v>1106.6932499999998</v>
      </c>
      <c r="CE8" s="2">
        <f>110.67*10</f>
        <v>1106.7</v>
      </c>
      <c r="CH8" s="2">
        <f>76.35+76.35*44.95%</f>
        <v>110.66932499999999</v>
      </c>
      <c r="CI8">
        <v>12</v>
      </c>
      <c r="CJ8">
        <f t="shared" si="11"/>
        <v>1328.0319</v>
      </c>
      <c r="CK8" s="2">
        <f>110.67*CI8</f>
        <v>1328.04</v>
      </c>
      <c r="CN8" t="s">
        <v>133</v>
      </c>
    </row>
    <row r="9" spans="2:94" x14ac:dyDescent="0.25">
      <c r="B9" t="s">
        <v>79</v>
      </c>
      <c r="D9" s="2"/>
      <c r="G9" s="2"/>
      <c r="K9" s="2"/>
      <c r="M9" s="2"/>
      <c r="N9" s="2"/>
      <c r="P9" s="2"/>
      <c r="R9" s="2"/>
      <c r="S9" s="2"/>
      <c r="W9" s="2"/>
      <c r="Y9" s="2"/>
      <c r="Z9" s="2"/>
      <c r="AC9" s="2"/>
      <c r="AD9" s="2"/>
      <c r="AE9" s="2"/>
      <c r="AF9" s="2"/>
      <c r="AI9" s="2"/>
      <c r="AK9" s="2"/>
      <c r="AL9" s="2"/>
      <c r="AX9" s="2"/>
      <c r="BC9" s="2"/>
      <c r="BE9" s="2"/>
      <c r="BF9" s="2"/>
      <c r="BI9" s="2"/>
      <c r="BK9" s="2"/>
      <c r="BL9" s="2"/>
      <c r="BN9" s="2"/>
      <c r="BP9" s="2"/>
      <c r="BQ9" s="2"/>
      <c r="BU9" s="2"/>
      <c r="BW9" s="2"/>
      <c r="BX9" s="2"/>
      <c r="CB9" s="2">
        <f>43.64+43.64*44.95%</f>
        <v>63.256180000000001</v>
      </c>
      <c r="CC9">
        <v>1</v>
      </c>
      <c r="CD9" s="2">
        <f t="shared" si="10"/>
        <v>63.256180000000001</v>
      </c>
      <c r="CE9" s="2">
        <f>63.26*CC9</f>
        <v>63.26</v>
      </c>
      <c r="CH9" s="2">
        <f>43.64+43.64*44.95%</f>
        <v>63.256180000000001</v>
      </c>
      <c r="CI9">
        <v>1.5</v>
      </c>
      <c r="CJ9">
        <f t="shared" si="11"/>
        <v>94.884270000000001</v>
      </c>
      <c r="CK9" s="2">
        <f>63.26*CI9</f>
        <v>94.89</v>
      </c>
    </row>
    <row r="10" spans="2:94" x14ac:dyDescent="0.25">
      <c r="B10" t="s">
        <v>22</v>
      </c>
      <c r="D10" s="2"/>
      <c r="G10" s="2"/>
      <c r="K10" s="2"/>
      <c r="M10" s="2"/>
      <c r="N10" s="2"/>
      <c r="P10" s="2"/>
      <c r="R10" s="2"/>
      <c r="S10" s="2"/>
      <c r="W10" s="2"/>
      <c r="Y10" s="2"/>
      <c r="Z10" s="2"/>
      <c r="AC10" s="2"/>
      <c r="AD10" s="2"/>
      <c r="AE10" s="2"/>
      <c r="AF10" s="2"/>
      <c r="AI10" s="2"/>
      <c r="AK10" s="2"/>
      <c r="AL10" s="2"/>
      <c r="AX10" s="2"/>
      <c r="BC10" s="2"/>
      <c r="BE10" s="2"/>
      <c r="BF10" s="2"/>
      <c r="BK10" s="2"/>
      <c r="BL10" s="2"/>
      <c r="BP10" s="2"/>
      <c r="BQ10" s="2"/>
      <c r="BU10" s="2"/>
      <c r="BW10" s="2"/>
      <c r="BX10" s="2"/>
      <c r="CD10" s="2"/>
      <c r="CE10" s="2"/>
      <c r="CK10" s="2"/>
      <c r="CN10" t="s">
        <v>127</v>
      </c>
      <c r="CO10" s="2">
        <v>33769.599999999999</v>
      </c>
      <c r="CP10" t="s">
        <v>90</v>
      </c>
    </row>
    <row r="11" spans="2:94" x14ac:dyDescent="0.25">
      <c r="B11" t="s">
        <v>39</v>
      </c>
      <c r="D11" s="2"/>
      <c r="G11" s="2"/>
      <c r="K11" s="2">
        <f>(1+44.95%)*49.93</f>
        <v>72.373535000000004</v>
      </c>
      <c r="L11" s="5">
        <v>3</v>
      </c>
      <c r="M11" s="3">
        <f t="shared" si="1"/>
        <v>217.12060500000001</v>
      </c>
      <c r="N11" s="3">
        <f>72.37*L11</f>
        <v>217.11</v>
      </c>
      <c r="P11" s="2">
        <f>49.93+49.93*44.95%</f>
        <v>72.373535000000004</v>
      </c>
      <c r="Q11">
        <v>13.5</v>
      </c>
      <c r="R11" s="2">
        <f t="shared" si="2"/>
        <v>977.04272250000008</v>
      </c>
      <c r="S11" s="3">
        <f>72.37*Q11</f>
        <v>976.99500000000012</v>
      </c>
      <c r="T11" s="2">
        <f>S5+S6+S7+S8+S11</f>
        <v>39548.225000000006</v>
      </c>
      <c r="W11" s="2">
        <f>49.93+49.93*44.95%</f>
        <v>72.373535000000004</v>
      </c>
      <c r="X11">
        <v>8</v>
      </c>
      <c r="Y11" s="2">
        <f t="shared" si="3"/>
        <v>578.98828000000003</v>
      </c>
      <c r="Z11" s="3">
        <f>72.37*X11</f>
        <v>578.96</v>
      </c>
      <c r="AC11" s="2">
        <f>49.99+49.99*44.95%</f>
        <v>72.460505000000012</v>
      </c>
      <c r="AD11" s="2">
        <v>11.5</v>
      </c>
      <c r="AE11" s="2">
        <f t="shared" si="4"/>
        <v>833.29580750000014</v>
      </c>
      <c r="AF11" s="2">
        <f>72.46*AD11</f>
        <v>833.29</v>
      </c>
      <c r="AI11" s="2">
        <f>49.99+49.99*44.95%</f>
        <v>72.460505000000012</v>
      </c>
      <c r="AJ11">
        <v>8.5</v>
      </c>
      <c r="AK11" s="2">
        <f t="shared" si="5"/>
        <v>615.9142925000001</v>
      </c>
      <c r="AL11" s="3">
        <f>72.46*AJ11</f>
        <v>615.91</v>
      </c>
      <c r="AX11" s="2"/>
      <c r="BC11" s="2">
        <f>50.89+50.89*44.95%</f>
        <v>73.765055000000004</v>
      </c>
      <c r="BD11">
        <v>10</v>
      </c>
      <c r="BE11" s="2">
        <f t="shared" si="12"/>
        <v>737.65055000000007</v>
      </c>
      <c r="BF11" s="2">
        <f>73.77*BD11</f>
        <v>737.69999999999993</v>
      </c>
      <c r="BI11" s="2">
        <f>50.89+50.89*44.95%</f>
        <v>73.765055000000004</v>
      </c>
      <c r="BJ11">
        <v>6.5</v>
      </c>
      <c r="BK11" s="2">
        <f t="shared" si="6"/>
        <v>479.47285750000003</v>
      </c>
      <c r="BL11" s="2">
        <f>73.77*BJ11</f>
        <v>479.505</v>
      </c>
      <c r="BN11" s="2">
        <f>50.89+50.89*44.95%</f>
        <v>73.765055000000004</v>
      </c>
      <c r="BO11">
        <v>17</v>
      </c>
      <c r="BP11" s="2">
        <f t="shared" si="7"/>
        <v>1254.0059350000001</v>
      </c>
      <c r="BQ11" s="2">
        <f>73.77*BO11</f>
        <v>1254.0899999999999</v>
      </c>
      <c r="BR11">
        <f t="shared" si="8"/>
        <v>23.5</v>
      </c>
      <c r="BU11" s="2">
        <f>50.89+50.89*44.95%</f>
        <v>73.765055000000004</v>
      </c>
      <c r="BV11" s="5">
        <v>6</v>
      </c>
      <c r="BW11" s="3">
        <f t="shared" si="9"/>
        <v>442.59032999999999</v>
      </c>
      <c r="BX11" s="3">
        <f>73.77*BV11</f>
        <v>442.62</v>
      </c>
      <c r="CB11" s="2">
        <f>50.89+50.89*44.95%</f>
        <v>73.765055000000004</v>
      </c>
      <c r="CC11">
        <v>16.5</v>
      </c>
      <c r="CD11" s="2">
        <f t="shared" si="10"/>
        <v>1217.1234075</v>
      </c>
      <c r="CE11" s="2">
        <f>73.77*CC11</f>
        <v>1217.2049999999999</v>
      </c>
      <c r="CH11" s="2">
        <f>50.89+50.89*44.95%</f>
        <v>73.765055000000004</v>
      </c>
      <c r="CI11">
        <v>10.5</v>
      </c>
      <c r="CJ11">
        <f t="shared" si="11"/>
        <v>774.53307749999999</v>
      </c>
      <c r="CK11" s="2">
        <f>73.77*CI11</f>
        <v>774.58499999999992</v>
      </c>
    </row>
    <row r="12" spans="2:94" x14ac:dyDescent="0.25">
      <c r="B12" t="s">
        <v>103</v>
      </c>
      <c r="D12" s="2"/>
      <c r="G12" s="2"/>
      <c r="K12" s="2"/>
      <c r="L12" s="6"/>
      <c r="M12" s="4"/>
      <c r="N12" s="4"/>
      <c r="P12" s="2"/>
      <c r="R12" s="2"/>
      <c r="S12" s="4"/>
      <c r="T12" s="2"/>
      <c r="W12" s="2"/>
      <c r="Y12" s="2"/>
      <c r="Z12" s="4"/>
      <c r="AC12" s="2"/>
      <c r="AD12" s="2"/>
      <c r="AE12" s="2"/>
      <c r="AF12" s="2"/>
      <c r="AI12" s="2"/>
      <c r="AK12" s="2"/>
      <c r="AL12" s="4"/>
      <c r="AX12" s="2"/>
      <c r="BC12" s="2">
        <f>69.84+69.84*44.95%</f>
        <v>101.23308</v>
      </c>
      <c r="BD12" s="5">
        <v>5.5</v>
      </c>
      <c r="BE12" s="3">
        <f t="shared" si="12"/>
        <v>556.78193999999996</v>
      </c>
      <c r="BF12" s="3">
        <f>101.23*BD12</f>
        <v>556.76499999999999</v>
      </c>
      <c r="BI12" s="2">
        <f>69.77+69.77*44.95%</f>
        <v>101.131615</v>
      </c>
      <c r="BJ12">
        <v>1.8</v>
      </c>
      <c r="BK12" s="2">
        <f t="shared" si="6"/>
        <v>182.03690699999999</v>
      </c>
      <c r="BL12" s="2">
        <f>101.13*BJ12</f>
        <v>182.03399999999999</v>
      </c>
      <c r="BN12" s="2"/>
      <c r="BR12">
        <f t="shared" si="8"/>
        <v>1.8</v>
      </c>
      <c r="BV12">
        <f>SUM(BV5:BV11)</f>
        <v>236</v>
      </c>
      <c r="BW12" s="2">
        <f t="shared" ref="BW12:BX12" si="13">SUM(BW5:BW11)</f>
        <v>32261.95635</v>
      </c>
      <c r="BX12" s="2">
        <f t="shared" si="13"/>
        <v>32262.52</v>
      </c>
      <c r="CN12" t="s">
        <v>126</v>
      </c>
      <c r="CO12" s="2">
        <f>CL14</f>
        <v>33691.754999999997</v>
      </c>
    </row>
    <row r="13" spans="2:94" x14ac:dyDescent="0.25">
      <c r="D13" s="2"/>
      <c r="G13" s="2"/>
      <c r="L13">
        <f>SUM(L5:L11)</f>
        <v>233.5</v>
      </c>
      <c r="O13" s="2"/>
      <c r="AE13" s="5"/>
      <c r="AF13" s="5"/>
      <c r="AL13" s="2">
        <f>SUM(AL5:AL11)</f>
        <v>38197.980000000003</v>
      </c>
      <c r="AX13" s="2"/>
      <c r="BD13">
        <f>SUM(BD5:BD12)</f>
        <v>208.5</v>
      </c>
      <c r="BE13" s="2">
        <f>SUM(BE5:BE12)</f>
        <v>28272.917855</v>
      </c>
      <c r="BF13" s="2">
        <f>SUM(BF5:BF12)</f>
        <v>28273.275000000001</v>
      </c>
      <c r="BX13" s="2"/>
      <c r="CK13" s="3"/>
      <c r="CN13" t="s">
        <v>129</v>
      </c>
      <c r="CO13" s="3">
        <f>CK15</f>
        <v>73.06</v>
      </c>
    </row>
    <row r="14" spans="2:94" x14ac:dyDescent="0.25">
      <c r="B14" t="s">
        <v>26</v>
      </c>
      <c r="F14" s="2">
        <f>SUM(F5:F13)</f>
        <v>31522.435944999997</v>
      </c>
      <c r="G14" s="2">
        <f>SUM(G5:G13)</f>
        <v>31521.65</v>
      </c>
      <c r="M14" s="2">
        <f>SUM(M5:M11)</f>
        <v>32284.851202500002</v>
      </c>
      <c r="N14" s="2">
        <f>SUM(N5:N11)</f>
        <v>32284.064999999999</v>
      </c>
      <c r="S14" s="2">
        <f>SUM(S5:S11)</f>
        <v>39548.225000000006</v>
      </c>
      <c r="Z14" s="2">
        <f>SUM(Z5:Z13)</f>
        <v>36603.950000000004</v>
      </c>
      <c r="AE14" s="2">
        <f>SUM(AE5:AE11)</f>
        <v>34649.232117499996</v>
      </c>
      <c r="AF14" s="2">
        <f>SUM(AF5:AF11)</f>
        <v>34648.635000000002</v>
      </c>
      <c r="AX14" s="2">
        <v>0</v>
      </c>
      <c r="BF14" s="2">
        <f>BF13</f>
        <v>28273.275000000001</v>
      </c>
      <c r="BL14" s="2">
        <f>SUM(BL5:BL12)</f>
        <v>33978.338999999993</v>
      </c>
      <c r="BQ14" s="2">
        <f>SUM(BQ5:BQ11)</f>
        <v>34220.945</v>
      </c>
      <c r="BS14" s="19">
        <f>BL14+BQ14</f>
        <v>68199.283999999985</v>
      </c>
      <c r="BX14" s="2"/>
      <c r="CC14">
        <f>SUM(CC5:CC13)</f>
        <v>223.5</v>
      </c>
      <c r="CD14" s="2">
        <f>SUM(CD5:CD13)</f>
        <v>29679.954752499998</v>
      </c>
      <c r="CE14" s="2">
        <f>SUM(CE5:CE13)</f>
        <v>29680.534999999996</v>
      </c>
      <c r="CF14" s="2">
        <f>CE5+CE6+CE7+CE8+CE11+CE9</f>
        <v>29680.535</v>
      </c>
      <c r="CK14" s="2">
        <f>SUM(CK5:CK11)</f>
        <v>33691.754999999997</v>
      </c>
      <c r="CL14" s="2">
        <f>CK5+CK6+CK7+CK8+CK9+CK11</f>
        <v>33691.754999999997</v>
      </c>
      <c r="CO14" s="2">
        <f>SUM(CO12:CO13)</f>
        <v>33764.814999999995</v>
      </c>
      <c r="CP14" t="s">
        <v>91</v>
      </c>
    </row>
    <row r="15" spans="2:94" x14ac:dyDescent="0.25">
      <c r="B15" t="s">
        <v>9</v>
      </c>
      <c r="F15" s="2"/>
      <c r="G15" s="2">
        <f>234.13+18.8</f>
        <v>252.93</v>
      </c>
      <c r="N15" s="2">
        <f>43+556.22</f>
        <v>599.22</v>
      </c>
      <c r="S15">
        <f>40.85+41.8+11.25</f>
        <v>93.9</v>
      </c>
      <c r="Z15">
        <f>98.62+0.9</f>
        <v>99.52000000000001</v>
      </c>
      <c r="AF15">
        <f>139.61+277+299.69+66.38+7</f>
        <v>789.68</v>
      </c>
      <c r="AL15" s="2">
        <f>129.24+19.49+19.85+30+49.45+546.89+380</f>
        <v>1174.92</v>
      </c>
      <c r="AM15" s="2">
        <f>AL13+AL15</f>
        <v>39372.9</v>
      </c>
      <c r="AX15" s="2">
        <f>20+45.47+299.48+514.74+6.6+3.6</f>
        <v>889.8900000000001</v>
      </c>
      <c r="BF15">
        <f>1.65+7.11</f>
        <v>8.76</v>
      </c>
      <c r="BS15">
        <f>126.22+367+19.15+3.15</f>
        <v>515.52</v>
      </c>
      <c r="BX15" s="2"/>
      <c r="CE15">
        <f>1.5+90.7</f>
        <v>92.2</v>
      </c>
      <c r="CK15" s="2">
        <f>6.25+66.81</f>
        <v>73.06</v>
      </c>
      <c r="CM15" s="2"/>
    </row>
    <row r="16" spans="2:94" x14ac:dyDescent="0.25">
      <c r="B16" t="s">
        <v>81</v>
      </c>
      <c r="F16" s="2"/>
      <c r="G16" s="2"/>
      <c r="N16" s="2"/>
      <c r="P16" t="s">
        <v>95</v>
      </c>
      <c r="R16">
        <v>850</v>
      </c>
      <c r="AL16" s="2"/>
      <c r="AX16" s="2"/>
      <c r="BV16" t="s">
        <v>11</v>
      </c>
      <c r="BW16" s="2">
        <v>152.37</v>
      </c>
      <c r="CB16" t="s">
        <v>125</v>
      </c>
      <c r="CC16" s="2">
        <v>24599.18</v>
      </c>
      <c r="CH16" t="s">
        <v>125</v>
      </c>
      <c r="CI16" s="2">
        <v>10400.82</v>
      </c>
      <c r="CK16" s="2"/>
      <c r="CN16" t="s">
        <v>128</v>
      </c>
      <c r="CO16" s="2">
        <f>CO10-CO14</f>
        <v>4.7850000000034925</v>
      </c>
    </row>
    <row r="17" spans="2:93" x14ac:dyDescent="0.25">
      <c r="D17" t="s">
        <v>83</v>
      </c>
      <c r="F17" s="2">
        <v>1100</v>
      </c>
      <c r="G17" s="2"/>
      <c r="N17" s="2"/>
      <c r="AI17" t="s">
        <v>99</v>
      </c>
      <c r="AK17">
        <v>257.94</v>
      </c>
      <c r="AL17" s="2"/>
      <c r="AX17" s="2"/>
      <c r="BC17" t="s">
        <v>119</v>
      </c>
      <c r="BE17" s="2">
        <v>1200</v>
      </c>
      <c r="BN17" t="s">
        <v>122</v>
      </c>
      <c r="BQ17">
        <v>1350</v>
      </c>
      <c r="BX17" s="2"/>
      <c r="CH17" t="s">
        <v>13</v>
      </c>
      <c r="CI17">
        <f>115.17+105.21</f>
        <v>220.38</v>
      </c>
      <c r="CK17" s="2"/>
      <c r="CM17" s="2"/>
    </row>
    <row r="18" spans="2:93" x14ac:dyDescent="0.25">
      <c r="F18" s="2"/>
      <c r="G18" s="2"/>
      <c r="N18" s="2"/>
      <c r="AI18" t="s">
        <v>100</v>
      </c>
      <c r="AK18">
        <v>850</v>
      </c>
      <c r="AL18" s="2"/>
      <c r="AX18" s="2"/>
      <c r="BC18" t="s">
        <v>12</v>
      </c>
      <c r="BE18">
        <v>34.35</v>
      </c>
      <c r="BN18" t="s">
        <v>122</v>
      </c>
      <c r="BQ18">
        <v>1000</v>
      </c>
      <c r="BX18" s="2"/>
      <c r="CH18" t="s">
        <v>12</v>
      </c>
      <c r="CI18">
        <v>31.08</v>
      </c>
      <c r="CK18" s="2"/>
      <c r="CO18" s="2"/>
    </row>
    <row r="19" spans="2:93" x14ac:dyDescent="0.25">
      <c r="F19" s="2"/>
      <c r="G19" s="2"/>
      <c r="N19" s="2"/>
      <c r="R19" s="6"/>
      <c r="AI19" t="s">
        <v>101</v>
      </c>
      <c r="AK19" s="5">
        <v>372</v>
      </c>
      <c r="AL19" s="2"/>
      <c r="AX19" s="2"/>
      <c r="BE19" s="3"/>
      <c r="BQ19" s="5"/>
      <c r="BX19" s="2"/>
      <c r="CH19" t="s">
        <v>11</v>
      </c>
      <c r="CI19" s="5">
        <v>81.97</v>
      </c>
      <c r="CK19" s="2"/>
      <c r="CM19" s="2"/>
      <c r="CO19" s="4"/>
    </row>
    <row r="20" spans="2:93" x14ac:dyDescent="0.25">
      <c r="B20" t="s">
        <v>80</v>
      </c>
      <c r="F20" s="2"/>
      <c r="G20" s="2">
        <f>SUM(F16:F19)</f>
        <v>1100</v>
      </c>
      <c r="N20" s="3"/>
      <c r="R20" s="5"/>
      <c r="S20" s="5">
        <f>R16</f>
        <v>850</v>
      </c>
      <c r="Z20" s="5"/>
      <c r="AL20" s="3">
        <f>SUM(AK17:AK19)</f>
        <v>1479.94</v>
      </c>
      <c r="AX20" s="2"/>
      <c r="BE20" s="2"/>
      <c r="BF20" s="3">
        <f>SUM(BE17:BE18)</f>
        <v>1234.3499999999999</v>
      </c>
      <c r="BS20" s="26">
        <f>BQ17+BQ18</f>
        <v>2350</v>
      </c>
      <c r="BX20" s="3">
        <f>BW16</f>
        <v>152.37</v>
      </c>
      <c r="CE20" s="3">
        <f>CC16</f>
        <v>24599.18</v>
      </c>
      <c r="CK20" s="3">
        <f>SUM(CI16:CI19)</f>
        <v>10734.249999999998</v>
      </c>
      <c r="CO20" s="2"/>
    </row>
    <row r="21" spans="2:93" x14ac:dyDescent="0.25">
      <c r="B21" t="s">
        <v>10</v>
      </c>
      <c r="G21" s="2">
        <f>SUM(G14:G20)</f>
        <v>32874.58</v>
      </c>
      <c r="H21" s="2">
        <f>G5+G6+G7+G8+G15+G20</f>
        <v>32874.58</v>
      </c>
      <c r="I21" s="2"/>
      <c r="N21" s="2">
        <f>SUM(N14:N20)</f>
        <v>32883.284999999996</v>
      </c>
      <c r="S21" s="2">
        <f>SUM(S14:S20)</f>
        <v>40492.125000000007</v>
      </c>
      <c r="Z21" s="2">
        <f>Z14+Z15</f>
        <v>36703.47</v>
      </c>
      <c r="AF21" s="2">
        <f>AF14+AF15</f>
        <v>35438.315000000002</v>
      </c>
      <c r="AG21" s="2"/>
      <c r="AL21" s="2">
        <f>AL13+AL15+AL20</f>
        <v>40852.840000000004</v>
      </c>
      <c r="AM21" s="2"/>
      <c r="AX21" s="2"/>
      <c r="BE21" s="2"/>
      <c r="BF21" s="2">
        <f>BF13+BF15+BF20</f>
        <v>29516.384999999998</v>
      </c>
      <c r="BS21" s="2">
        <f>SUM(BS14:BS20)</f>
        <v>71064.803999999989</v>
      </c>
      <c r="BX21" s="2">
        <f>BX12+BX20</f>
        <v>32414.89</v>
      </c>
      <c r="BY21" s="2">
        <f>BX5+BX6+BX7+BX8+BX11+BW16</f>
        <v>32414.89</v>
      </c>
      <c r="CE21" s="2">
        <f>SUM(CE14:CE20)</f>
        <v>54371.914999999994</v>
      </c>
      <c r="CK21" s="2">
        <f>CK14+CK15+CK20</f>
        <v>44499.064999999995</v>
      </c>
      <c r="CL21" s="2">
        <f>CL14+CI16+CK15+CI17+CI18+CI19</f>
        <v>44499.064999999995</v>
      </c>
      <c r="CN21" t="s">
        <v>130</v>
      </c>
      <c r="CO21" s="2">
        <v>1662100.16</v>
      </c>
    </row>
    <row r="22" spans="2:93" x14ac:dyDescent="0.25">
      <c r="G22" s="2"/>
      <c r="N22" s="2"/>
      <c r="O22" s="14"/>
      <c r="AX22" s="2"/>
      <c r="BE22" s="2"/>
      <c r="BX22" s="2"/>
      <c r="CN22" t="s">
        <v>131</v>
      </c>
      <c r="CO22" s="3">
        <f>CL41</f>
        <v>1662095.3750000002</v>
      </c>
    </row>
    <row r="23" spans="2:93" x14ac:dyDescent="0.25">
      <c r="G23" s="2"/>
      <c r="N23" s="2"/>
      <c r="O23" s="2"/>
      <c r="AX23" s="2"/>
      <c r="BE23" s="2"/>
      <c r="BX23" s="2"/>
      <c r="CN23" t="s">
        <v>132</v>
      </c>
      <c r="CO23" s="2">
        <f>CO21-CO22</f>
        <v>4.7849999996833503</v>
      </c>
    </row>
    <row r="24" spans="2:93" x14ac:dyDescent="0.25">
      <c r="B24" t="s">
        <v>11</v>
      </c>
      <c r="G24" s="2">
        <v>97573.99</v>
      </c>
      <c r="H24" s="20"/>
      <c r="N24" s="2">
        <v>63309.4</v>
      </c>
      <c r="O24" s="2"/>
      <c r="S24" s="2">
        <v>109915.95</v>
      </c>
      <c r="T24" s="2">
        <v>17331.27</v>
      </c>
      <c r="Z24" s="2">
        <v>170833.61</v>
      </c>
      <c r="AA24" s="2"/>
      <c r="AF24" s="2">
        <v>108817.7</v>
      </c>
      <c r="AG24" s="2"/>
      <c r="AL24" s="2">
        <v>212224.97</v>
      </c>
      <c r="AM24" s="2"/>
      <c r="AX24" s="2">
        <v>256740.95</v>
      </c>
      <c r="BF24" s="2">
        <v>178036.79</v>
      </c>
      <c r="BI24" s="2"/>
      <c r="BS24" s="2">
        <v>282787.43</v>
      </c>
      <c r="BT24" s="2"/>
      <c r="BX24" s="2">
        <v>243960.34</v>
      </c>
      <c r="BY24" s="2">
        <v>18031.41</v>
      </c>
      <c r="CE24" s="2">
        <v>291428.55</v>
      </c>
      <c r="CI24" s="2"/>
      <c r="CK24" s="2">
        <v>1097497.78</v>
      </c>
      <c r="CM24" s="2"/>
    </row>
    <row r="25" spans="2:93" x14ac:dyDescent="0.25">
      <c r="B25" t="s">
        <v>12</v>
      </c>
      <c r="G25" s="2">
        <v>23888.84</v>
      </c>
      <c r="H25" s="20"/>
      <c r="I25" s="2"/>
      <c r="N25" s="2">
        <v>42105.599999999999</v>
      </c>
      <c r="O25" s="2"/>
      <c r="S25" s="2"/>
      <c r="T25" s="2">
        <v>24554.71</v>
      </c>
      <c r="Z25" s="2">
        <v>53157.57</v>
      </c>
      <c r="AA25" s="2"/>
      <c r="AF25" s="2">
        <v>29659.5</v>
      </c>
      <c r="AG25" s="2"/>
      <c r="AL25" s="2"/>
      <c r="AM25" s="2"/>
      <c r="AX25" s="2">
        <v>69191.64</v>
      </c>
      <c r="BF25" s="2">
        <v>23427.88</v>
      </c>
      <c r="BI25" s="2"/>
      <c r="BS25" s="2">
        <v>24480.95</v>
      </c>
      <c r="BT25" s="2"/>
      <c r="BX25" s="2">
        <v>42244.69</v>
      </c>
      <c r="BY25" s="2">
        <v>66547.259999999995</v>
      </c>
      <c r="CE25" s="2">
        <v>43853.55</v>
      </c>
      <c r="CI25" s="2"/>
      <c r="CK25" s="2">
        <v>67163.7</v>
      </c>
      <c r="CM25" s="2"/>
    </row>
    <row r="26" spans="2:93" x14ac:dyDescent="0.25">
      <c r="B26" t="s">
        <v>13</v>
      </c>
      <c r="G26" s="2"/>
      <c r="H26" s="20"/>
      <c r="I26" s="2"/>
      <c r="N26" s="2"/>
      <c r="O26" s="2"/>
      <c r="S26" s="2"/>
      <c r="T26" s="2">
        <v>93487.92</v>
      </c>
      <c r="Z26" s="2"/>
      <c r="AA26" s="2"/>
      <c r="AF26" s="2">
        <v>81350.039999999994</v>
      </c>
      <c r="AG26" s="2"/>
      <c r="AL26" s="2">
        <v>16254.43</v>
      </c>
      <c r="AM26" s="2"/>
      <c r="AX26" s="2">
        <v>23571.29</v>
      </c>
      <c r="BF26" s="2">
        <v>28186.32</v>
      </c>
      <c r="BI26" s="2"/>
      <c r="BS26" s="2">
        <v>14381.85</v>
      </c>
      <c r="BT26" s="2"/>
      <c r="BX26" s="2">
        <v>62928.45</v>
      </c>
      <c r="BY26" s="2">
        <v>109050.04</v>
      </c>
      <c r="CE26" s="2">
        <v>36901.980000000003</v>
      </c>
      <c r="CI26" s="2"/>
      <c r="CK26" s="2">
        <v>49667.8</v>
      </c>
      <c r="CM26" s="2"/>
    </row>
    <row r="27" spans="2:93" x14ac:dyDescent="0.25">
      <c r="B27" t="s">
        <v>14</v>
      </c>
      <c r="G27" s="2"/>
      <c r="H27" s="20"/>
      <c r="I27" s="2"/>
      <c r="N27" s="2"/>
      <c r="O27" s="2"/>
      <c r="S27" s="2"/>
      <c r="T27" s="2">
        <v>18239.099999999999</v>
      </c>
      <c r="Z27" s="2"/>
      <c r="AA27" s="2"/>
      <c r="AF27" s="2">
        <v>189578.31</v>
      </c>
      <c r="AG27" s="2"/>
      <c r="AL27" s="2">
        <v>55791.67</v>
      </c>
      <c r="AM27" s="2"/>
      <c r="AX27" s="2">
        <v>50763.74</v>
      </c>
      <c r="BF27" s="2">
        <v>44434.89</v>
      </c>
      <c r="BI27" s="2"/>
      <c r="BS27" s="2">
        <v>55562.76</v>
      </c>
      <c r="BT27" s="2"/>
      <c r="BX27" s="2">
        <v>39293.279999999999</v>
      </c>
      <c r="BY27" s="2">
        <v>23164.1</v>
      </c>
      <c r="CE27" s="2">
        <v>35919.51</v>
      </c>
      <c r="CI27" s="2"/>
      <c r="CK27" s="2">
        <v>81030.12</v>
      </c>
      <c r="CM27" s="2"/>
    </row>
    <row r="28" spans="2:93" x14ac:dyDescent="0.25">
      <c r="B28" t="s">
        <v>15</v>
      </c>
      <c r="G28" s="2">
        <v>5251.3</v>
      </c>
      <c r="H28" s="20"/>
      <c r="I28" s="2"/>
      <c r="N28" s="2">
        <v>5872.6</v>
      </c>
      <c r="O28" s="2"/>
      <c r="S28" s="2">
        <v>7376.9</v>
      </c>
      <c r="T28" s="2">
        <v>9947.18</v>
      </c>
      <c r="Z28" s="2">
        <v>8976.9</v>
      </c>
      <c r="AA28" s="2"/>
      <c r="AF28" s="2">
        <v>10506.18</v>
      </c>
      <c r="AG28" s="2"/>
      <c r="AL28" s="2"/>
      <c r="AM28" s="2"/>
      <c r="AO28" s="2"/>
      <c r="AX28" s="2">
        <v>16505.32</v>
      </c>
      <c r="AZ28" s="2"/>
      <c r="BF28" s="2">
        <v>5491.29</v>
      </c>
      <c r="BI28" s="2"/>
      <c r="BS28" s="2">
        <v>9920.9599999999991</v>
      </c>
      <c r="BT28" s="2"/>
      <c r="BX28" s="2">
        <v>9589.7199999999993</v>
      </c>
      <c r="BY28" s="2">
        <v>9913.6299999999992</v>
      </c>
      <c r="CE28" s="2">
        <v>9997.91</v>
      </c>
      <c r="CF28" s="2"/>
      <c r="CI28" s="2"/>
      <c r="CK28" s="2">
        <v>14987.84</v>
      </c>
      <c r="CM28" s="2"/>
    </row>
    <row r="29" spans="2:93" x14ac:dyDescent="0.25">
      <c r="B29" t="s">
        <v>16</v>
      </c>
      <c r="G29" s="2"/>
      <c r="H29" s="20"/>
      <c r="I29" s="2"/>
      <c r="N29" s="2">
        <v>1028.75</v>
      </c>
      <c r="O29" s="4"/>
      <c r="S29" s="2">
        <v>227.73</v>
      </c>
      <c r="T29" s="2">
        <v>73317.11</v>
      </c>
      <c r="Z29" s="2">
        <v>2054.64</v>
      </c>
      <c r="AA29" s="2"/>
      <c r="AF29" s="2">
        <v>1174.08</v>
      </c>
      <c r="AG29" s="2"/>
      <c r="AL29" s="2">
        <v>1834.5</v>
      </c>
      <c r="AM29" s="2"/>
      <c r="AX29" s="2">
        <v>5676.96</v>
      </c>
      <c r="AZ29" s="2"/>
      <c r="BF29" s="2">
        <v>4099.4799999999996</v>
      </c>
      <c r="BI29" s="2"/>
      <c r="BS29" s="2">
        <v>3683.25</v>
      </c>
      <c r="BT29" s="2"/>
      <c r="BX29" s="2">
        <v>8763.7999999999993</v>
      </c>
      <c r="BY29" s="2">
        <v>191907.11</v>
      </c>
      <c r="CE29" s="2">
        <v>9864.6200000000008</v>
      </c>
      <c r="CF29" s="2"/>
      <c r="CI29" s="2"/>
      <c r="CK29" s="2">
        <v>17291.66</v>
      </c>
      <c r="CM29" s="2"/>
      <c r="CO29" s="2"/>
    </row>
    <row r="30" spans="2:93" x14ac:dyDescent="0.25">
      <c r="B30" t="s">
        <v>17</v>
      </c>
      <c r="G30" s="2">
        <v>8323.2000000000007</v>
      </c>
      <c r="I30" s="2"/>
      <c r="N30" s="2">
        <v>9336.6</v>
      </c>
      <c r="O30" s="4"/>
      <c r="S30" s="2">
        <v>17187.03</v>
      </c>
      <c r="T30" s="2">
        <v>3253.88</v>
      </c>
      <c r="Z30" s="2">
        <v>20427.580000000002</v>
      </c>
      <c r="AA30" s="2"/>
      <c r="AF30" s="2">
        <v>15663.44</v>
      </c>
      <c r="AG30" s="2"/>
      <c r="AL30" s="2"/>
      <c r="AM30" s="4"/>
      <c r="AX30" s="2">
        <v>38687.5</v>
      </c>
      <c r="AZ30" s="2"/>
      <c r="BF30" s="2"/>
      <c r="BI30" s="2"/>
      <c r="BS30" s="2">
        <v>34466.75</v>
      </c>
      <c r="BT30" s="2"/>
      <c r="BX30" s="2">
        <v>18897.14</v>
      </c>
      <c r="BY30" s="2">
        <v>1040.8599999999999</v>
      </c>
      <c r="CE30" s="2">
        <v>14076.75</v>
      </c>
      <c r="CF30" s="2"/>
      <c r="CI30" s="2"/>
      <c r="CK30" s="2">
        <v>8763.58</v>
      </c>
      <c r="CM30" s="2"/>
      <c r="CO30" s="2"/>
    </row>
    <row r="31" spans="2:93" x14ac:dyDescent="0.25">
      <c r="B31" t="s">
        <v>18</v>
      </c>
      <c r="G31" s="2"/>
      <c r="I31" s="2"/>
      <c r="N31" s="2"/>
      <c r="O31" s="2"/>
      <c r="S31" s="2"/>
      <c r="T31" s="2">
        <v>227.53</v>
      </c>
      <c r="Z31" s="2">
        <v>29504.03</v>
      </c>
      <c r="AA31" s="2"/>
      <c r="AF31" s="2">
        <v>17207.28</v>
      </c>
      <c r="AG31" s="2"/>
      <c r="AL31" s="2">
        <v>10621.48</v>
      </c>
      <c r="AM31" s="2"/>
      <c r="AX31" s="2">
        <v>14020.57</v>
      </c>
      <c r="AZ31" s="2"/>
      <c r="BF31" s="2">
        <v>20095.53</v>
      </c>
      <c r="BI31" s="2"/>
      <c r="BS31" s="2">
        <v>10624.79</v>
      </c>
      <c r="BT31" s="2"/>
      <c r="BX31" s="2"/>
      <c r="BY31" s="2">
        <v>18127.37</v>
      </c>
      <c r="CE31" s="2">
        <v>44695.6</v>
      </c>
      <c r="CF31" s="2"/>
      <c r="CI31" s="2"/>
      <c r="CK31" s="2">
        <v>46018.22</v>
      </c>
      <c r="CM31" s="2"/>
      <c r="CO31" s="2"/>
    </row>
    <row r="32" spans="2:93" x14ac:dyDescent="0.25">
      <c r="B32" t="s">
        <v>40</v>
      </c>
      <c r="G32" s="2">
        <v>7408.4</v>
      </c>
      <c r="I32" s="2"/>
      <c r="N32" s="2">
        <v>5372.02</v>
      </c>
      <c r="O32" s="2"/>
      <c r="S32" s="2">
        <v>6037.53</v>
      </c>
      <c r="T32" s="2">
        <v>3598.82</v>
      </c>
      <c r="Z32" s="2">
        <v>6408.34</v>
      </c>
      <c r="AA32" s="2"/>
      <c r="AF32" s="2">
        <v>7088.92</v>
      </c>
      <c r="AG32" s="2"/>
      <c r="AL32" s="2">
        <v>10968.84</v>
      </c>
      <c r="AM32" s="2"/>
      <c r="AX32" s="2">
        <v>6054.15</v>
      </c>
      <c r="AZ32" s="2"/>
      <c r="BF32" s="2">
        <v>4655.8900000000003</v>
      </c>
      <c r="BI32" s="2"/>
      <c r="BS32" s="2"/>
      <c r="BT32" s="2"/>
      <c r="BX32" s="2">
        <v>4176.84</v>
      </c>
      <c r="BY32" s="2">
        <v>3847.29</v>
      </c>
      <c r="CE32" s="2">
        <v>7292.94</v>
      </c>
      <c r="CF32" s="2"/>
      <c r="CI32" s="2"/>
      <c r="CK32" s="2">
        <v>1260.77</v>
      </c>
      <c r="CM32" s="2"/>
      <c r="CO32" s="2"/>
    </row>
    <row r="33" spans="2:91" x14ac:dyDescent="0.25">
      <c r="B33" t="s">
        <v>19</v>
      </c>
      <c r="G33" s="2">
        <v>69591.17</v>
      </c>
      <c r="I33" s="2"/>
      <c r="N33" s="2">
        <v>61640.480000000003</v>
      </c>
      <c r="O33" s="2"/>
      <c r="S33" s="2">
        <v>66035.25</v>
      </c>
      <c r="T33" s="2">
        <v>429.29</v>
      </c>
      <c r="Z33" s="2">
        <v>71317.03</v>
      </c>
      <c r="AA33" s="2"/>
      <c r="AF33" s="2">
        <v>88054.27</v>
      </c>
      <c r="AG33" s="2"/>
      <c r="AL33" s="2">
        <v>83467.17</v>
      </c>
      <c r="AM33" s="2"/>
      <c r="AO33" s="21" t="s">
        <v>102</v>
      </c>
      <c r="AX33" s="2">
        <v>65040.69</v>
      </c>
      <c r="AZ33" s="2"/>
      <c r="BF33" s="2">
        <v>80364.28</v>
      </c>
      <c r="BI33" s="2"/>
      <c r="BS33" s="2">
        <v>57022.06</v>
      </c>
      <c r="BT33" s="2"/>
      <c r="BX33" s="2">
        <v>72562.63</v>
      </c>
      <c r="BY33" s="2">
        <v>6507.48</v>
      </c>
      <c r="CE33" s="2">
        <v>70045.570000000007</v>
      </c>
      <c r="CF33" s="2"/>
      <c r="CI33" s="2"/>
      <c r="CK33" s="2">
        <v>108004.38</v>
      </c>
      <c r="CM33" s="2"/>
    </row>
    <row r="34" spans="2:91" x14ac:dyDescent="0.25">
      <c r="B34" t="s">
        <v>20</v>
      </c>
      <c r="G34" s="2">
        <v>59675.18</v>
      </c>
      <c r="I34" s="2"/>
      <c r="N34" s="2">
        <v>68256.759999999995</v>
      </c>
      <c r="O34" s="2"/>
      <c r="S34" s="2">
        <v>63834.78</v>
      </c>
      <c r="T34" s="2">
        <v>309.8</v>
      </c>
      <c r="Z34" s="2">
        <v>77927.740000000005</v>
      </c>
      <c r="AA34" s="2"/>
      <c r="AF34" s="2">
        <v>48494.85</v>
      </c>
      <c r="AG34" s="2"/>
      <c r="AL34" s="2">
        <v>62498.44</v>
      </c>
      <c r="AM34" s="2"/>
      <c r="AO34" s="21" t="s">
        <v>104</v>
      </c>
      <c r="AX34" s="2">
        <v>66302.7</v>
      </c>
      <c r="AZ34" s="2"/>
      <c r="BF34" s="2">
        <v>67309.119999999995</v>
      </c>
      <c r="BI34" s="2"/>
      <c r="BS34" s="2">
        <v>52831.94</v>
      </c>
      <c r="BT34" s="2"/>
      <c r="BX34" s="2">
        <v>94498.1</v>
      </c>
      <c r="BY34" s="2">
        <v>25068.5</v>
      </c>
      <c r="CE34" s="2">
        <v>53730.79</v>
      </c>
      <c r="CF34" s="2"/>
      <c r="CI34" s="2"/>
      <c r="CK34" s="2">
        <v>89648.62</v>
      </c>
      <c r="CM34" s="2"/>
    </row>
    <row r="35" spans="2:91" x14ac:dyDescent="0.25">
      <c r="B35" t="s">
        <v>74</v>
      </c>
      <c r="G35" s="2"/>
      <c r="I35" s="2"/>
      <c r="N35" s="2">
        <v>56315.75</v>
      </c>
      <c r="O35" s="2"/>
      <c r="S35" s="2">
        <v>29289.15</v>
      </c>
      <c r="T35" s="2">
        <v>17014.07</v>
      </c>
      <c r="Z35" s="2">
        <v>32507.5</v>
      </c>
      <c r="AA35" s="2"/>
      <c r="AF35" s="2">
        <v>28080</v>
      </c>
      <c r="AG35" s="2"/>
      <c r="AL35" s="2">
        <v>30543.47</v>
      </c>
      <c r="AM35" s="2"/>
      <c r="AX35" s="2">
        <v>27347.5</v>
      </c>
      <c r="AZ35" s="2"/>
      <c r="BF35" s="2">
        <v>22866.25</v>
      </c>
      <c r="BI35" s="2"/>
      <c r="BS35" s="2">
        <v>24308.75</v>
      </c>
      <c r="BT35" s="2"/>
      <c r="BX35" s="2">
        <v>29955</v>
      </c>
      <c r="BY35" s="2">
        <v>12478.22</v>
      </c>
      <c r="CE35" s="2">
        <v>29518.49</v>
      </c>
      <c r="CF35" s="2"/>
      <c r="CI35" s="2"/>
      <c r="CK35" s="2">
        <v>14177.11</v>
      </c>
      <c r="CM35" s="2"/>
    </row>
    <row r="36" spans="2:91" x14ac:dyDescent="0.25">
      <c r="B36" t="s">
        <v>21</v>
      </c>
      <c r="G36" s="2">
        <v>2475</v>
      </c>
      <c r="I36" s="2"/>
      <c r="N36" s="3">
        <v>1971</v>
      </c>
      <c r="O36" s="2"/>
      <c r="S36" s="3">
        <v>3015</v>
      </c>
      <c r="T36" s="2">
        <v>1912.02</v>
      </c>
      <c r="Z36" s="2">
        <v>810</v>
      </c>
      <c r="AA36" s="2"/>
      <c r="AF36" s="2">
        <v>2259</v>
      </c>
      <c r="AG36" s="2"/>
      <c r="AL36" s="2">
        <v>270</v>
      </c>
      <c r="AM36" s="2"/>
      <c r="AN36" s="2"/>
      <c r="AP36" t="s">
        <v>105</v>
      </c>
      <c r="AX36" s="2">
        <v>1314</v>
      </c>
      <c r="AZ36" s="2"/>
      <c r="BF36" s="2">
        <v>1710</v>
      </c>
      <c r="BI36" s="2"/>
      <c r="BS36" s="2">
        <v>2925</v>
      </c>
      <c r="BT36" s="2"/>
      <c r="BX36" s="2">
        <v>720</v>
      </c>
      <c r="BY36" s="2">
        <v>9334.1200000000008</v>
      </c>
      <c r="CE36" s="2">
        <v>2610</v>
      </c>
      <c r="CF36" s="2"/>
      <c r="CI36" s="2"/>
      <c r="CK36" s="2">
        <v>720</v>
      </c>
      <c r="CM36" s="2"/>
    </row>
    <row r="37" spans="2:91" x14ac:dyDescent="0.25">
      <c r="B37" t="s">
        <v>96</v>
      </c>
      <c r="G37" s="2"/>
      <c r="I37" s="2"/>
      <c r="N37" s="4"/>
      <c r="O37" s="2"/>
      <c r="S37" s="4"/>
      <c r="T37" s="2"/>
      <c r="Z37" s="3">
        <v>2936.41</v>
      </c>
      <c r="AA37" s="2"/>
      <c r="AC37" s="2"/>
      <c r="AF37" s="3">
        <v>6078.05</v>
      </c>
      <c r="AG37" s="2"/>
      <c r="AI37" s="2"/>
      <c r="AL37" s="2">
        <v>923.75</v>
      </c>
      <c r="AM37" s="2"/>
      <c r="AO37" t="s">
        <v>85</v>
      </c>
      <c r="AP37" s="2">
        <v>26352.99</v>
      </c>
      <c r="AX37" s="2">
        <v>1195</v>
      </c>
      <c r="AZ37" s="2"/>
      <c r="BF37" s="2">
        <v>653.75</v>
      </c>
      <c r="BI37" s="2"/>
      <c r="BS37" s="2"/>
      <c r="BT37" s="2"/>
      <c r="BX37" s="2"/>
      <c r="BY37" s="2">
        <v>176026.05</v>
      </c>
      <c r="CE37" s="2">
        <v>2153.63</v>
      </c>
      <c r="CF37" s="2"/>
      <c r="CI37" s="2"/>
      <c r="CK37" s="2">
        <v>867.5</v>
      </c>
    </row>
    <row r="38" spans="2:91" x14ac:dyDescent="0.25">
      <c r="B38" t="s">
        <v>98</v>
      </c>
      <c r="G38" s="2"/>
      <c r="I38" s="2"/>
      <c r="N38" s="4"/>
      <c r="O38" s="2"/>
      <c r="S38" s="4"/>
      <c r="T38" s="2"/>
      <c r="Z38" s="4"/>
      <c r="AA38" s="2"/>
      <c r="AF38" s="4"/>
      <c r="AG38" s="2"/>
      <c r="AL38" s="3">
        <v>35650</v>
      </c>
      <c r="AM38" s="2"/>
      <c r="AO38" t="s">
        <v>86</v>
      </c>
      <c r="AP38" s="2">
        <v>11845.67</v>
      </c>
      <c r="AX38" s="3">
        <v>8754.48</v>
      </c>
      <c r="AZ38" s="2"/>
      <c r="BF38" s="3"/>
      <c r="BI38" s="2"/>
      <c r="BS38" s="3"/>
      <c r="BX38" s="3">
        <v>17975</v>
      </c>
      <c r="BY38" s="2">
        <v>1687.48</v>
      </c>
      <c r="CE38" s="2">
        <v>3070.8</v>
      </c>
      <c r="CF38" s="2"/>
      <c r="CI38" s="2"/>
      <c r="CK38" s="3">
        <v>20497.23</v>
      </c>
    </row>
    <row r="39" spans="2:91" x14ac:dyDescent="0.25">
      <c r="B39" t="s">
        <v>27</v>
      </c>
      <c r="G39" s="2">
        <f>SUM(G24:G36)</f>
        <v>274187.08</v>
      </c>
      <c r="I39" s="2"/>
      <c r="N39" s="2">
        <f>SUM(N24:N36)</f>
        <v>315208.96000000002</v>
      </c>
      <c r="O39" s="2"/>
      <c r="S39" s="2">
        <f>SUM(S24:S36)</f>
        <v>302919.32</v>
      </c>
      <c r="T39" s="2">
        <v>73034.8</v>
      </c>
      <c r="Z39" s="2">
        <f>SUM(Z24:Z37)</f>
        <v>476861.34999999992</v>
      </c>
      <c r="AA39" s="2"/>
      <c r="AF39" s="2">
        <f>SUM(AF24:AF37)</f>
        <v>634011.62</v>
      </c>
      <c r="AL39" s="2">
        <f>SUM(AL24:AL38)</f>
        <v>521048.72</v>
      </c>
      <c r="AM39" s="2"/>
      <c r="AO39" t="s">
        <v>106</v>
      </c>
      <c r="AP39" s="2">
        <v>1736432.38</v>
      </c>
      <c r="AX39" s="2">
        <f>SUM(AX24:AX38)</f>
        <v>651166.49</v>
      </c>
      <c r="BF39" s="2">
        <f>SUM(BF24:BF38)</f>
        <v>481331.47</v>
      </c>
      <c r="BG39" s="2"/>
      <c r="BI39" s="2"/>
      <c r="BS39" s="2">
        <f>SUM(BS24:BS38)</f>
        <v>572996.49</v>
      </c>
      <c r="BX39" s="2">
        <f>SUM(BX24:BX38)</f>
        <v>645564.99</v>
      </c>
      <c r="BY39" s="2">
        <v>5248.97</v>
      </c>
      <c r="CE39" s="2">
        <f>SUM(CE24:CE38)</f>
        <v>655160.69000000006</v>
      </c>
      <c r="CF39" s="2"/>
      <c r="CI39" s="2"/>
      <c r="CK39" s="2">
        <f>SUM(CK24:CK38)</f>
        <v>1617596.3100000003</v>
      </c>
      <c r="CL39" s="2"/>
    </row>
    <row r="40" spans="2:91" x14ac:dyDescent="0.25">
      <c r="G40" s="2"/>
      <c r="I40" s="2"/>
      <c r="N40" s="2"/>
      <c r="O40" s="2"/>
      <c r="S40" s="2"/>
      <c r="T40" s="2">
        <v>1701.4</v>
      </c>
      <c r="AA40" s="2"/>
      <c r="AF40" s="2"/>
      <c r="AO40" t="s">
        <v>107</v>
      </c>
      <c r="AP40" s="2"/>
      <c r="BF40" s="2"/>
      <c r="BI40" s="2"/>
      <c r="BX40" s="2"/>
      <c r="BY40" s="2">
        <f>SUM(BY24:BY39)</f>
        <v>677979.8899999999</v>
      </c>
      <c r="CE40" s="2"/>
      <c r="CF40" s="2"/>
      <c r="CI40" s="2"/>
      <c r="CK40" s="2"/>
    </row>
    <row r="41" spans="2:91" x14ac:dyDescent="0.25">
      <c r="B41" t="s">
        <v>28</v>
      </c>
      <c r="C41" t="s">
        <v>90</v>
      </c>
      <c r="G41" s="2">
        <f>G21+G39</f>
        <v>307061.66000000003</v>
      </c>
      <c r="H41" s="2">
        <f>H21+G25+G32+G24+G30+G28+G36+G34+G33</f>
        <v>307061.65999999997</v>
      </c>
      <c r="I41" s="2"/>
      <c r="N41" s="2">
        <f>N21+N39</f>
        <v>348092.245</v>
      </c>
      <c r="O41" s="2"/>
      <c r="S41" s="2">
        <f>S21+S39</f>
        <v>343411.44500000001</v>
      </c>
      <c r="T41" s="2">
        <v>5052.55</v>
      </c>
      <c r="Z41" s="2">
        <f>Z21+Z39</f>
        <v>513564.81999999995</v>
      </c>
      <c r="AA41" s="2"/>
      <c r="AF41" s="2">
        <f>AF21+AF39</f>
        <v>669449.93500000006</v>
      </c>
      <c r="AG41" s="2"/>
      <c r="AL41" s="2">
        <f>AL21+AL39</f>
        <v>561901.55999999994</v>
      </c>
      <c r="AM41" s="2">
        <f>AL21+AL24+AL31+AL29+AL27+AL26+AL32+AL33+AL36+AL34+AL35+AL37+AL38</f>
        <v>561901.55999999994</v>
      </c>
      <c r="AO41" s="1" t="s">
        <v>108</v>
      </c>
      <c r="AP41" s="2">
        <v>-476861.35</v>
      </c>
      <c r="AR41" s="21"/>
      <c r="AX41" s="2">
        <f>AX15+AX39</f>
        <v>652056.38</v>
      </c>
      <c r="AY41" s="2">
        <f>AX15+AX24+AX31+AX28+AX29+AX27+AX30+AX26+AX32+AX25+AX33+AX36+AX34+AX35+AX37+AX38</f>
        <v>652056.38</v>
      </c>
      <c r="BF41" s="2">
        <f>BF21+BF39</f>
        <v>510847.85499999998</v>
      </c>
      <c r="BI41" s="2"/>
      <c r="BS41" s="2">
        <f>BS21+BS39</f>
        <v>644061.29399999999</v>
      </c>
      <c r="BT41" s="2"/>
      <c r="BX41" s="2">
        <f>BX21+BX39</f>
        <v>677979.88</v>
      </c>
      <c r="CE41" s="2">
        <f>CE21+CE39</f>
        <v>709532.6050000001</v>
      </c>
      <c r="CF41" s="2"/>
      <c r="CK41" s="2"/>
      <c r="CL41" s="2">
        <f>CK21+CK24+CK31+CK28+CK29+CK27+CK30+CK26+CK32+CK25+CK33+CK36+CK34+CK35+CK37+CK38</f>
        <v>1662095.3750000002</v>
      </c>
    </row>
    <row r="42" spans="2:91" x14ac:dyDescent="0.25">
      <c r="B42" t="s">
        <v>33</v>
      </c>
      <c r="C42" t="s">
        <v>91</v>
      </c>
      <c r="G42" s="2">
        <v>307061.65999999997</v>
      </c>
      <c r="I42" s="2"/>
      <c r="N42" s="2"/>
      <c r="S42" s="2"/>
      <c r="T42" s="2">
        <f>SUM(T24:T41)</f>
        <v>343411.45</v>
      </c>
      <c r="Z42" s="2">
        <v>513564.82</v>
      </c>
      <c r="AF42" s="2"/>
      <c r="AO42" t="s">
        <v>109</v>
      </c>
      <c r="AP42" s="2">
        <v>-634011.62</v>
      </c>
      <c r="BF42" s="2"/>
      <c r="BI42" s="2"/>
      <c r="BS42" s="2">
        <v>644061.30000000005</v>
      </c>
      <c r="BX42" s="2">
        <f>BX39+BX21+0.01</f>
        <v>677979.89</v>
      </c>
      <c r="BY42" s="2"/>
      <c r="BZ42" s="2"/>
      <c r="CF42" s="2"/>
    </row>
    <row r="43" spans="2:91" x14ac:dyDescent="0.25">
      <c r="B43" t="s">
        <v>93</v>
      </c>
      <c r="G43" s="2">
        <f>G41-G42</f>
        <v>0</v>
      </c>
      <c r="N43" s="2"/>
      <c r="AF43" s="2"/>
      <c r="AO43" t="s">
        <v>110</v>
      </c>
      <c r="AP43" s="2">
        <v>261653.49</v>
      </c>
      <c r="BF43" s="2"/>
      <c r="BS43" s="2">
        <f>BS41-BS42</f>
        <v>-6.0000000521540642E-3</v>
      </c>
      <c r="BX43" s="2">
        <f>BX41-BX42</f>
        <v>-1.0000000009313226E-2</v>
      </c>
      <c r="CF43" s="2"/>
    </row>
    <row r="44" spans="2:91" x14ac:dyDescent="0.25">
      <c r="P44" s="2"/>
      <c r="AF44" s="2"/>
      <c r="AO44" t="s">
        <v>111</v>
      </c>
      <c r="AP44" s="2">
        <v>-249049</v>
      </c>
      <c r="BF44" s="2"/>
      <c r="CF44" s="2"/>
    </row>
    <row r="45" spans="2:91" x14ac:dyDescent="0.25">
      <c r="B45" t="s">
        <v>84</v>
      </c>
      <c r="AF45" s="2"/>
      <c r="AO45" t="s">
        <v>112</v>
      </c>
      <c r="AP45" s="2">
        <v>-10500</v>
      </c>
      <c r="BF45" s="2"/>
    </row>
    <row r="46" spans="2:91" x14ac:dyDescent="0.25">
      <c r="B46" t="s">
        <v>85</v>
      </c>
      <c r="AO46" t="s">
        <v>113</v>
      </c>
      <c r="AP46" s="3">
        <v>66.38</v>
      </c>
      <c r="AR46" s="21"/>
      <c r="BF46" s="2"/>
    </row>
    <row r="47" spans="2:91" x14ac:dyDescent="0.25">
      <c r="B47" t="s">
        <v>86</v>
      </c>
      <c r="AO47" t="s">
        <v>114</v>
      </c>
      <c r="AP47" s="2">
        <f>SUM(AP37:AP46)</f>
        <v>665928.93999999994</v>
      </c>
      <c r="BF47" s="2"/>
    </row>
    <row r="48" spans="2:91" x14ac:dyDescent="0.25">
      <c r="B48" t="s">
        <v>87</v>
      </c>
      <c r="AO48" t="s">
        <v>115</v>
      </c>
      <c r="AP48" s="5">
        <f>129.24+19.49</f>
        <v>148.73000000000002</v>
      </c>
      <c r="BF48" s="2"/>
    </row>
    <row r="49" spans="2:58" x14ac:dyDescent="0.25">
      <c r="B49" t="s">
        <v>88</v>
      </c>
      <c r="G49">
        <f>SUM(G46:G48)</f>
        <v>0</v>
      </c>
      <c r="AO49" t="s">
        <v>116</v>
      </c>
      <c r="AP49" s="2">
        <f>AP47+AP48</f>
        <v>666077.66999999993</v>
      </c>
      <c r="AQ49" t="s">
        <v>90</v>
      </c>
      <c r="BF49" s="2"/>
    </row>
    <row r="50" spans="2:58" x14ac:dyDescent="0.25">
      <c r="B50" t="s">
        <v>89</v>
      </c>
      <c r="G50" s="2">
        <f>G39</f>
        <v>274187.08</v>
      </c>
      <c r="AO50" s="21" t="s">
        <v>117</v>
      </c>
      <c r="AP50" s="22">
        <v>666081.48</v>
      </c>
      <c r="AQ50" t="s">
        <v>91</v>
      </c>
      <c r="BF50" s="2"/>
    </row>
    <row r="51" spans="2:58" x14ac:dyDescent="0.25">
      <c r="B51" t="s">
        <v>63</v>
      </c>
      <c r="C51" t="s">
        <v>92</v>
      </c>
      <c r="G51" s="2">
        <f>G49+G50</f>
        <v>274187.08</v>
      </c>
      <c r="AO51" t="s">
        <v>118</v>
      </c>
      <c r="AP51" s="2">
        <f>AP49-AP50</f>
        <v>-3.8100000000558794</v>
      </c>
      <c r="BF51" s="2"/>
    </row>
    <row r="52" spans="2:58" x14ac:dyDescent="0.25">
      <c r="B52" t="s">
        <v>94</v>
      </c>
      <c r="G52" s="2">
        <f>G42-G51</f>
        <v>32874.579999999958</v>
      </c>
      <c r="AP52" s="2"/>
      <c r="BF52" s="2"/>
    </row>
    <row r="53" spans="2:58" x14ac:dyDescent="0.25">
      <c r="BF53" s="2"/>
    </row>
    <row r="54" spans="2:58" x14ac:dyDescent="0.25">
      <c r="BF54" s="2"/>
    </row>
    <row r="55" spans="2:58" x14ac:dyDescent="0.25">
      <c r="BF55" s="2"/>
    </row>
    <row r="56" spans="2:58" x14ac:dyDescent="0.25">
      <c r="BF56" s="2"/>
    </row>
    <row r="57" spans="2:58" x14ac:dyDescent="0.25">
      <c r="BF57" s="2"/>
    </row>
    <row r="58" spans="2:58" x14ac:dyDescent="0.25">
      <c r="BF58" s="2"/>
    </row>
    <row r="59" spans="2:58" x14ac:dyDescent="0.25">
      <c r="BF59" s="2"/>
    </row>
    <row r="60" spans="2:58" x14ac:dyDescent="0.25">
      <c r="BF60" s="2"/>
    </row>
    <row r="61" spans="2:58" x14ac:dyDescent="0.25">
      <c r="BF61" s="2"/>
    </row>
    <row r="62" spans="2:58" x14ac:dyDescent="0.25">
      <c r="BF62" s="2"/>
    </row>
    <row r="63" spans="2:58" x14ac:dyDescent="0.25">
      <c r="BF63" s="2"/>
    </row>
  </sheetData>
  <mergeCells count="12">
    <mergeCell ref="CH3:CK3"/>
    <mergeCell ref="CB3:CE3"/>
    <mergeCell ref="D3:G3"/>
    <mergeCell ref="K3:N3"/>
    <mergeCell ref="P3:S3"/>
    <mergeCell ref="W3:Z3"/>
    <mergeCell ref="AC3:AF3"/>
    <mergeCell ref="BU3:BX3"/>
    <mergeCell ref="BI3:BS3"/>
    <mergeCell ref="BC3:BF3"/>
    <mergeCell ref="AU3:AX3"/>
    <mergeCell ref="AI3:AL3"/>
  </mergeCells>
  <printOptions gridLines="1"/>
  <pageMargins left="0.7" right="0.7" top="0.75" bottom="0.75" header="0.3" footer="0.3"/>
  <pageSetup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2014</vt:lpstr>
      <vt:lpstr>2015</vt:lpstr>
      <vt:lpstr>Sheet3</vt:lpstr>
      <vt:lpstr>'2015'!Print_Area</vt:lpstr>
      <vt:lpstr>'2014'!Print_Titles</vt:lpstr>
      <vt:lpstr>'2015'!Print_Titles</vt:lpstr>
    </vt:vector>
  </TitlesOfParts>
  <Company>ABAG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</dc:creator>
  <cp:lastModifiedBy>LucyN</cp:lastModifiedBy>
  <cp:lastPrinted>2015-12-15T22:21:07Z</cp:lastPrinted>
  <dcterms:created xsi:type="dcterms:W3CDTF">2013-11-08T23:43:02Z</dcterms:created>
  <dcterms:modified xsi:type="dcterms:W3CDTF">2016-01-29T22:53:39Z</dcterms:modified>
</cp:coreProperties>
</file>